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tabRatio="836" activeTab="9"/>
  </bookViews>
  <sheets>
    <sheet name="Case1" sheetId="1" r:id="rId1"/>
    <sheet name="Case2" sheetId="2" r:id="rId2"/>
    <sheet name="Case3" sheetId="3" r:id="rId3"/>
    <sheet name="Case4" sheetId="4" r:id="rId4"/>
    <sheet name="Case5" sheetId="5" r:id="rId5"/>
    <sheet name="Case6" sheetId="6" r:id="rId6"/>
    <sheet name="Case7" sheetId="7" r:id="rId7"/>
    <sheet name="Case8" sheetId="8" r:id="rId8"/>
    <sheet name="Case9" sheetId="9" r:id="rId9"/>
    <sheet name="Case10" sheetId="10" r:id="rId10"/>
    <sheet name="Case11" sheetId="11" r:id="rId11"/>
    <sheet name="Case12" sheetId="12" r:id="rId12"/>
  </sheets>
  <definedNames>
    <definedName name="_xlnm.Print_Area" localSheetId="0">'Case1'!$A$1:$K$87</definedName>
    <definedName name="_xlnm.Print_Area" localSheetId="9">'Case10'!$A$1:$K$87</definedName>
    <definedName name="_xlnm.Print_Area" localSheetId="10">'Case11'!$A$1:$K$87</definedName>
    <definedName name="_xlnm.Print_Area" localSheetId="11">'Case12'!$A$1:$K$87</definedName>
    <definedName name="_xlnm.Print_Area" localSheetId="1">'Case2'!$A$1:$K$87</definedName>
    <definedName name="_xlnm.Print_Area" localSheetId="2">'Case3'!$A$1:$K$87</definedName>
    <definedName name="_xlnm.Print_Area" localSheetId="3">'Case4'!$A$1:$K$87</definedName>
    <definedName name="_xlnm.Print_Area" localSheetId="4">'Case5'!$A$1:$K$87</definedName>
    <definedName name="_xlnm.Print_Area" localSheetId="5">'Case6'!$A$1:$K$87</definedName>
    <definedName name="_xlnm.Print_Area" localSheetId="6">'Case7'!$A$1:$K$87</definedName>
    <definedName name="_xlnm.Print_Area" localSheetId="7">'Case8'!$A$1:$K$87</definedName>
    <definedName name="_xlnm.Print_Area" localSheetId="8">'Case9'!$A$1:$K$87</definedName>
  </definedNames>
  <calcPr fullCalcOnLoad="1"/>
</workbook>
</file>

<file path=xl/sharedStrings.xml><?xml version="1.0" encoding="utf-8"?>
<sst xmlns="http://schemas.openxmlformats.org/spreadsheetml/2006/main" count="831" uniqueCount="76">
  <si>
    <t xml:space="preserve">Limit </t>
  </si>
  <si>
    <t xml:space="preserve">Retention </t>
  </si>
  <si>
    <t>Consumed Surplus</t>
  </si>
  <si>
    <t xml:space="preserve">Prob f(i) </t>
  </si>
  <si>
    <t xml:space="preserve">Cum Prob F(i) </t>
  </si>
  <si>
    <t xml:space="preserve">Loss L(i) </t>
  </si>
  <si>
    <t xml:space="preserve">NS(i) </t>
  </si>
  <si>
    <t>Total Yield $ on Tier</t>
  </si>
  <si>
    <t>Required Yield on CS</t>
  </si>
  <si>
    <t xml:space="preserve">Tier 1 </t>
  </si>
  <si>
    <t xml:space="preserve">Tier 2 </t>
  </si>
  <si>
    <t xml:space="preserve">Tier 3 </t>
  </si>
  <si>
    <t xml:space="preserve">Tier 4 </t>
  </si>
  <si>
    <t xml:space="preserve">Tier 5 </t>
  </si>
  <si>
    <t xml:space="preserve">Tier 6 </t>
  </si>
  <si>
    <t xml:space="preserve">Tier 7 </t>
  </si>
  <si>
    <t xml:space="preserve">F(T) </t>
  </si>
  <si>
    <t xml:space="preserve">NS(i) as % CS </t>
  </si>
  <si>
    <t xml:space="preserve">Risk Load as % of E[L] </t>
  </si>
  <si>
    <t>Risk Load $</t>
  </si>
  <si>
    <t>Expected Yield on CS</t>
  </si>
  <si>
    <t>Subject Premium</t>
  </si>
  <si>
    <t>Initial Fund F(0)</t>
  </si>
  <si>
    <t>Tier Definitions as % of CS</t>
  </si>
  <si>
    <t xml:space="preserve">Loss Ratio </t>
  </si>
  <si>
    <t>Expected Loss % to Tier</t>
  </si>
  <si>
    <t>Yield Prem - Variable</t>
  </si>
  <si>
    <t>Yield Prem - Fixed</t>
  </si>
  <si>
    <t xml:space="preserve">Contribution </t>
  </si>
  <si>
    <t xml:space="preserve">from Prem </t>
  </si>
  <si>
    <t>BASE CASE</t>
  </si>
  <si>
    <t>[1]</t>
  </si>
  <si>
    <t>Inputs:</t>
  </si>
  <si>
    <t>Calculated Values:</t>
  </si>
  <si>
    <t>Total Yield % on Tier</t>
  </si>
  <si>
    <t>Total Yield $ Over All Tiers</t>
  </si>
  <si>
    <t>=Cum Sum</t>
  </si>
  <si>
    <t>Expected Loss</t>
  </si>
  <si>
    <t>Expected Value of NS(i)</t>
  </si>
  <si>
    <t>Expected Value of F(T)</t>
  </si>
  <si>
    <t>Expected Loss $ to Tier</t>
  </si>
  <si>
    <t>Input</t>
  </si>
  <si>
    <t xml:space="preserve">=Max( 0, </t>
  </si>
  <si>
    <t>Fund</t>
  </si>
  <si>
    <t xml:space="preserve">Tier NS(i) = </t>
  </si>
  <si>
    <t>CASE 2 -- More Skewed Loss Distribution, Same CS and Risk Load %</t>
  </si>
  <si>
    <t>CASE 3 -- More Skewed Loss Distribution, Same CS, In Yield Balance</t>
  </si>
  <si>
    <t>CASE 4 -- More Skewed Loss Distribution, In Yield and Loss Rate Balance</t>
  </si>
  <si>
    <t>CASE 5 -- Less Skewed Loss Distribution, Same CS and Risk Load %</t>
  </si>
  <si>
    <t>CASE 6 -- Less Skewed Loss Distribution, In Yield and Loss Rate Balance</t>
  </si>
  <si>
    <t>CASE 7 -- New Risk Resulting in More Skewed Loss Distribution, Same CS</t>
  </si>
  <si>
    <t>New Risk</t>
  </si>
  <si>
    <t>True Yield Premium</t>
  </si>
  <si>
    <t>Exhibit 1</t>
  </si>
  <si>
    <t>Exhibit 2</t>
  </si>
  <si>
    <t>Exhibit 3</t>
  </si>
  <si>
    <t>Exhibit 4</t>
  </si>
  <si>
    <t>Exhibit 5</t>
  </si>
  <si>
    <t>Exhibit 6</t>
  </si>
  <si>
    <t>Exhibit 7</t>
  </si>
  <si>
    <t>Exhibit 8</t>
  </si>
  <si>
    <t>Exhibit 9</t>
  </si>
  <si>
    <t>Exhibit 10</t>
  </si>
  <si>
    <t>Exhibit 11</t>
  </si>
  <si>
    <t>Default-Free Rate</t>
  </si>
  <si>
    <t>Surplus Loss Rate</t>
  </si>
  <si>
    <t>=E{ Tier NS(i) }</t>
  </si>
  <si>
    <t xml:space="preserve">Tier # </t>
  </si>
  <si>
    <t>Outcome # i</t>
  </si>
  <si>
    <t>CASE 8 -- New Risk, More Skewed Distribution, In Yield and Loss Rate Balance</t>
  </si>
  <si>
    <t>CASE 10 -- Base Case with CS = Max(NS(i)), In Yield Balance</t>
  </si>
  <si>
    <t>CASE 11 -- Base Case with Twice the CS</t>
  </si>
  <si>
    <t>Exhibit 12</t>
  </si>
  <si>
    <t>CASE 12 -- Base Case with Half the CS</t>
  </si>
  <si>
    <t>CASE 9 -- New Risk, Less Skewed, Same CS, In Yield and Loss Rate Balance</t>
  </si>
  <si>
    <t>Committed Surplus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</si>
</sst>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0.000000000000000000%"/>
    <numFmt numFmtId="170" formatCode="_(* #,##0.0_);_(* \(#,##0.0\);_(* &quot;-&quot;??_);_(@_)"/>
    <numFmt numFmtId="171" formatCode="0.0000000000000000%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4"/>
      <color indexed="12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10" fontId="2" fillId="0" borderId="0" xfId="19" applyNumberFormat="1" applyFont="1" applyAlignment="1">
      <alignment/>
    </xf>
    <xf numFmtId="164" fontId="0" fillId="0" borderId="0" xfId="19" applyNumberFormat="1" applyAlignment="1">
      <alignment/>
    </xf>
    <xf numFmtId="165" fontId="1" fillId="0" borderId="0" xfId="15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19" applyAlignment="1">
      <alignment/>
    </xf>
    <xf numFmtId="10" fontId="1" fillId="0" borderId="0" xfId="19" applyNumberFormat="1" applyFont="1" applyAlignment="1">
      <alignment/>
    </xf>
    <xf numFmtId="43" fontId="0" fillId="0" borderId="0" xfId="15" applyNumberFormat="1" applyAlignment="1">
      <alignment/>
    </xf>
    <xf numFmtId="43" fontId="1" fillId="0" borderId="0" xfId="0" applyNumberFormat="1" applyFont="1" applyBorder="1" applyAlignment="1">
      <alignment/>
    </xf>
    <xf numFmtId="0" fontId="1" fillId="0" borderId="0" xfId="0" applyFont="1" applyAlignment="1" quotePrefix="1">
      <alignment horizontal="right"/>
    </xf>
    <xf numFmtId="164" fontId="2" fillId="0" borderId="1" xfId="19" applyNumberFormat="1" applyFont="1" applyBorder="1" applyAlignment="1">
      <alignment/>
    </xf>
    <xf numFmtId="164" fontId="2" fillId="0" borderId="2" xfId="19" applyNumberFormat="1" applyFont="1" applyBorder="1" applyAlignment="1">
      <alignment/>
    </xf>
    <xf numFmtId="43" fontId="2" fillId="0" borderId="0" xfId="15" applyFont="1" applyBorder="1" applyAlignment="1">
      <alignment/>
    </xf>
    <xf numFmtId="43" fontId="0" fillId="0" borderId="0" xfId="15" applyFont="1" applyBorder="1" applyAlignment="1">
      <alignment/>
    </xf>
    <xf numFmtId="43" fontId="1" fillId="0" borderId="0" xfId="15" applyNumberFormat="1" applyFont="1" applyAlignment="1">
      <alignment/>
    </xf>
    <xf numFmtId="10" fontId="2" fillId="0" borderId="3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43" fontId="2" fillId="0" borderId="1" xfId="15" applyFont="1" applyBorder="1" applyAlignment="1">
      <alignment/>
    </xf>
    <xf numFmtId="43" fontId="2" fillId="0" borderId="2" xfId="15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left"/>
    </xf>
    <xf numFmtId="10" fontId="2" fillId="0" borderId="7" xfId="19" applyNumberFormat="1" applyFont="1" applyBorder="1" applyAlignment="1">
      <alignment horizontal="right"/>
    </xf>
    <xf numFmtId="0" fontId="0" fillId="0" borderId="8" xfId="0" applyBorder="1" applyAlignment="1">
      <alignment/>
    </xf>
    <xf numFmtId="43" fontId="2" fillId="0" borderId="8" xfId="15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6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15" applyFont="1" applyBorder="1" applyAlignment="1">
      <alignment horizontal="center"/>
    </xf>
    <xf numFmtId="10" fontId="6" fillId="0" borderId="0" xfId="19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Alignment="1" quotePrefix="1">
      <alignment horizontal="center"/>
    </xf>
    <xf numFmtId="168" fontId="1" fillId="0" borderId="0" xfId="15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Alignment="1" quotePrefix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5" xfId="0" applyFont="1" applyBorder="1" applyAlignment="1">
      <alignment horizontal="center"/>
    </xf>
    <xf numFmtId="0" fontId="0" fillId="0" borderId="6" xfId="0" applyFont="1" applyBorder="1" applyAlignment="1" quotePrefix="1">
      <alignment horizontal="left"/>
    </xf>
    <xf numFmtId="0" fontId="0" fillId="0" borderId="6" xfId="0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3" xfId="0" applyFont="1" applyBorder="1" applyAlignment="1" quotePrefix="1">
      <alignment horizontal="center"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Border="1" applyAlignment="1">
      <alignment horizontal="left"/>
    </xf>
    <xf numFmtId="43" fontId="1" fillId="0" borderId="16" xfId="15" applyFont="1" applyBorder="1" applyAlignment="1">
      <alignment horizontal="center"/>
    </xf>
    <xf numFmtId="43" fontId="2" fillId="0" borderId="7" xfId="15" applyFont="1" applyBorder="1" applyAlignment="1">
      <alignment/>
    </xf>
    <xf numFmtId="0" fontId="0" fillId="0" borderId="16" xfId="0" applyBorder="1" applyAlignment="1">
      <alignment/>
    </xf>
    <xf numFmtId="10" fontId="1" fillId="0" borderId="6" xfId="19" applyNumberFormat="1" applyFont="1" applyBorder="1" applyAlignment="1" quotePrefix="1">
      <alignment horizontal="left"/>
    </xf>
    <xf numFmtId="10" fontId="6" fillId="0" borderId="9" xfId="19" applyNumberFormat="1" applyFont="1" applyBorder="1" applyAlignment="1">
      <alignment horizontal="center"/>
    </xf>
    <xf numFmtId="10" fontId="1" fillId="0" borderId="0" xfId="19" applyNumberFormat="1" applyFon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10" fontId="6" fillId="0" borderId="10" xfId="19" applyNumberFormat="1" applyFont="1" applyBorder="1" applyAlignment="1">
      <alignment horizontal="center"/>
    </xf>
    <xf numFmtId="0" fontId="1" fillId="0" borderId="8" xfId="0" applyFont="1" applyBorder="1" applyAlignment="1" quotePrefix="1">
      <alignment horizontal="left"/>
    </xf>
    <xf numFmtId="164" fontId="2" fillId="0" borderId="6" xfId="19" applyNumberFormat="1" applyFont="1" applyBorder="1" applyAlignment="1">
      <alignment/>
    </xf>
    <xf numFmtId="164" fontId="2" fillId="0" borderId="11" xfId="19" applyNumberFormat="1" applyFont="1" applyBorder="1" applyAlignment="1">
      <alignment/>
    </xf>
    <xf numFmtId="0" fontId="0" fillId="0" borderId="9" xfId="0" applyBorder="1" applyAlignment="1">
      <alignment/>
    </xf>
    <xf numFmtId="43" fontId="6" fillId="0" borderId="9" xfId="15" applyFont="1" applyBorder="1" applyAlignment="1">
      <alignment horizontal="center"/>
    </xf>
    <xf numFmtId="0" fontId="1" fillId="0" borderId="0" xfId="0" applyFont="1" applyBorder="1" applyAlignment="1" quotePrefix="1">
      <alignment horizontal="right"/>
    </xf>
    <xf numFmtId="0" fontId="1" fillId="0" borderId="8" xfId="0" applyFont="1" applyBorder="1" applyAlignment="1" quotePrefix="1">
      <alignment horizontal="right"/>
    </xf>
    <xf numFmtId="164" fontId="2" fillId="0" borderId="8" xfId="19" applyNumberFormat="1" applyFont="1" applyBorder="1" applyAlignment="1">
      <alignment/>
    </xf>
    <xf numFmtId="164" fontId="2" fillId="0" borderId="13" xfId="19" applyNumberFormat="1" applyFont="1" applyBorder="1" applyAlignment="1">
      <alignment/>
    </xf>
    <xf numFmtId="164" fontId="2" fillId="0" borderId="17" xfId="19" applyNumberFormat="1" applyFont="1" applyBorder="1" applyAlignment="1">
      <alignment/>
    </xf>
    <xf numFmtId="164" fontId="2" fillId="0" borderId="18" xfId="19" applyNumberFormat="1" applyFont="1" applyBorder="1" applyAlignment="1">
      <alignment/>
    </xf>
    <xf numFmtId="10" fontId="6" fillId="0" borderId="5" xfId="19" applyNumberFormat="1" applyFont="1" applyBorder="1" applyAlignment="1">
      <alignment horizontal="center"/>
    </xf>
    <xf numFmtId="43" fontId="2" fillId="0" borderId="17" xfId="15" applyFont="1" applyBorder="1" applyAlignment="1">
      <alignment/>
    </xf>
    <xf numFmtId="10" fontId="2" fillId="0" borderId="19" xfId="19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0" fontId="2" fillId="0" borderId="23" xfId="19" applyNumberFormat="1" applyFont="1" applyBorder="1" applyAlignment="1">
      <alignment/>
    </xf>
    <xf numFmtId="10" fontId="2" fillId="0" borderId="24" xfId="19" applyNumberFormat="1" applyFont="1" applyBorder="1" applyAlignment="1">
      <alignment/>
    </xf>
    <xf numFmtId="10" fontId="2" fillId="0" borderId="25" xfId="19" applyNumberFormat="1" applyFont="1" applyBorder="1" applyAlignment="1">
      <alignment/>
    </xf>
    <xf numFmtId="43" fontId="0" fillId="0" borderId="0" xfId="15" applyNumberFormat="1" applyFont="1" applyAlignment="1">
      <alignment/>
    </xf>
    <xf numFmtId="10" fontId="0" fillId="0" borderId="0" xfId="19" applyNumberFormat="1" applyFont="1" applyAlignment="1">
      <alignment/>
    </xf>
    <xf numFmtId="43" fontId="0" fillId="0" borderId="6" xfId="15" applyFont="1" applyBorder="1" applyAlignment="1">
      <alignment/>
    </xf>
    <xf numFmtId="43" fontId="0" fillId="0" borderId="11" xfId="15" applyFont="1" applyBorder="1" applyAlignment="1">
      <alignment/>
    </xf>
    <xf numFmtId="10" fontId="0" fillId="0" borderId="0" xfId="19" applyNumberFormat="1" applyFont="1" applyBorder="1" applyAlignment="1">
      <alignment/>
    </xf>
    <xf numFmtId="10" fontId="0" fillId="0" borderId="12" xfId="19" applyNumberFormat="1" applyFont="1" applyBorder="1" applyAlignment="1">
      <alignment/>
    </xf>
    <xf numFmtId="43" fontId="0" fillId="0" borderId="8" xfId="0" applyNumberFormat="1" applyFont="1" applyBorder="1" applyAlignment="1">
      <alignment/>
    </xf>
    <xf numFmtId="43" fontId="0" fillId="0" borderId="13" xfId="0" applyNumberFormat="1" applyFont="1" applyBorder="1" applyAlignment="1">
      <alignment/>
    </xf>
    <xf numFmtId="43" fontId="0" fillId="0" borderId="6" xfId="15" applyFont="1" applyBorder="1" applyAlignment="1">
      <alignment horizontal="center"/>
    </xf>
    <xf numFmtId="43" fontId="0" fillId="0" borderId="0" xfId="15" applyFont="1" applyBorder="1" applyAlignment="1">
      <alignment horizontal="center"/>
    </xf>
    <xf numFmtId="10" fontId="0" fillId="0" borderId="8" xfId="19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0" fontId="4" fillId="0" borderId="24" xfId="19" applyNumberFormat="1" applyFont="1" applyBorder="1" applyAlignment="1">
      <alignment/>
    </xf>
    <xf numFmtId="10" fontId="4" fillId="0" borderId="25" xfId="19" applyNumberFormat="1" applyFont="1" applyBorder="1" applyAlignment="1">
      <alignment/>
    </xf>
    <xf numFmtId="0" fontId="6" fillId="2" borderId="9" xfId="0" applyFont="1" applyFill="1" applyBorder="1" applyAlignment="1">
      <alignment horizontal="center"/>
    </xf>
    <xf numFmtId="10" fontId="1" fillId="2" borderId="0" xfId="19" applyNumberFormat="1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10" fontId="1" fillId="2" borderId="8" xfId="19" applyNumberFormat="1" applyFont="1" applyFill="1" applyBorder="1" applyAlignment="1">
      <alignment/>
    </xf>
    <xf numFmtId="0" fontId="1" fillId="2" borderId="0" xfId="0" applyFont="1" applyFill="1" applyBorder="1" applyAlignment="1" quotePrefix="1">
      <alignment horizontal="left"/>
    </xf>
    <xf numFmtId="0" fontId="1" fillId="2" borderId="0" xfId="0" applyFont="1" applyFill="1" applyBorder="1" applyAlignment="1">
      <alignment/>
    </xf>
    <xf numFmtId="0" fontId="11" fillId="2" borderId="12" xfId="0" applyFont="1" applyFill="1" applyBorder="1" applyAlignment="1" quotePrefix="1">
      <alignment horizontal="center"/>
    </xf>
    <xf numFmtId="0" fontId="1" fillId="2" borderId="8" xfId="0" applyFont="1" applyFill="1" applyBorder="1" applyAlignment="1">
      <alignment/>
    </xf>
    <xf numFmtId="0" fontId="11" fillId="2" borderId="13" xfId="0" applyFont="1" applyFill="1" applyBorder="1" applyAlignment="1" quotePrefix="1">
      <alignment horizontal="center"/>
    </xf>
    <xf numFmtId="0" fontId="0" fillId="2" borderId="0" xfId="0" applyFill="1" applyBorder="1" applyAlignment="1">
      <alignment/>
    </xf>
    <xf numFmtId="43" fontId="2" fillId="2" borderId="7" xfId="15" applyFont="1" applyFill="1" applyBorder="1" applyAlignment="1">
      <alignment/>
    </xf>
    <xf numFmtId="0" fontId="3" fillId="2" borderId="21" xfId="0" applyFont="1" applyFill="1" applyBorder="1" applyAlignment="1">
      <alignment horizontal="center"/>
    </xf>
    <xf numFmtId="10" fontId="2" fillId="2" borderId="7" xfId="19" applyNumberFormat="1" applyFont="1" applyFill="1" applyBorder="1" applyAlignment="1">
      <alignment horizontal="right"/>
    </xf>
    <xf numFmtId="43" fontId="2" fillId="0" borderId="26" xfId="15" applyFont="1" applyBorder="1" applyAlignment="1">
      <alignment horizontal="center"/>
    </xf>
    <xf numFmtId="43" fontId="2" fillId="0" borderId="21" xfId="0" applyNumberFormat="1" applyFont="1" applyBorder="1" applyAlignment="1">
      <alignment horizontal="right"/>
    </xf>
    <xf numFmtId="10" fontId="2" fillId="0" borderId="20" xfId="19" applyNumberFormat="1" applyFont="1" applyBorder="1" applyAlignment="1">
      <alignment horizontal="right"/>
    </xf>
    <xf numFmtId="0" fontId="0" fillId="2" borderId="0" xfId="0" applyFont="1" applyFill="1" applyBorder="1" applyAlignment="1">
      <alignment/>
    </xf>
    <xf numFmtId="0" fontId="12" fillId="0" borderId="0" xfId="0" applyFont="1" applyAlignment="1">
      <alignment/>
    </xf>
    <xf numFmtId="43" fontId="2" fillId="0" borderId="27" xfId="15" applyFont="1" applyBorder="1" applyAlignment="1">
      <alignment/>
    </xf>
    <xf numFmtId="43" fontId="2" fillId="0" borderId="28" xfId="15" applyFont="1" applyBorder="1" applyAlignment="1">
      <alignment/>
    </xf>
    <xf numFmtId="10" fontId="2" fillId="0" borderId="29" xfId="19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1:L8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13.421875" style="0" customWidth="1"/>
    <col min="3" max="4" width="13.00390625" style="0" customWidth="1"/>
    <col min="5" max="5" width="13.28125" style="0" customWidth="1"/>
    <col min="6" max="6" width="15.7109375" style="0" customWidth="1"/>
    <col min="7" max="7" width="13.8515625" style="0" customWidth="1"/>
    <col min="8" max="8" width="12.140625" style="0" customWidth="1"/>
    <col min="9" max="9" width="15.421875" style="0" customWidth="1"/>
    <col min="10" max="10" width="13.7109375" style="0" customWidth="1"/>
    <col min="11" max="11" width="19.8515625" style="0" customWidth="1"/>
    <col min="12" max="12" width="14.140625" style="0" customWidth="1"/>
    <col min="13" max="16" width="11.421875" style="0" customWidth="1"/>
    <col min="17" max="17" width="11.7109375" style="0" customWidth="1"/>
  </cols>
  <sheetData>
    <row r="1" spans="1:12" ht="26.25">
      <c r="A1" s="43" t="s">
        <v>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6.25">
      <c r="A2" s="45" t="s">
        <v>30</v>
      </c>
      <c r="B2" s="44"/>
      <c r="C2" s="44"/>
      <c r="D2" s="44"/>
      <c r="E2" s="44"/>
      <c r="F2" s="45"/>
      <c r="G2" s="44"/>
      <c r="H2" s="44"/>
      <c r="I2" s="44"/>
      <c r="J2" s="44"/>
      <c r="K2" s="44"/>
      <c r="L2" s="44"/>
    </row>
    <row r="3" ht="13.5" thickBot="1">
      <c r="A3" s="1"/>
    </row>
    <row r="4" spans="1:11" ht="20.25" thickBot="1" thickTop="1">
      <c r="A4" s="1"/>
      <c r="E4" s="52"/>
      <c r="F4" s="55"/>
      <c r="G4" s="55" t="s">
        <v>32</v>
      </c>
      <c r="H4" s="54"/>
      <c r="I4" s="59"/>
      <c r="J4" s="13"/>
      <c r="K4" s="22"/>
    </row>
    <row r="5" spans="1:12" ht="17.25" thickBot="1" thickTop="1">
      <c r="A5" s="1"/>
      <c r="E5" s="35" t="s">
        <v>31</v>
      </c>
      <c r="F5" s="22" t="s">
        <v>2</v>
      </c>
      <c r="G5" s="22"/>
      <c r="H5" s="58">
        <v>3600</v>
      </c>
      <c r="I5" s="83" t="s">
        <v>41</v>
      </c>
      <c r="L5" s="40"/>
    </row>
    <row r="6" spans="1:9" ht="16.5" thickBot="1">
      <c r="A6" s="1"/>
      <c r="E6" s="35" t="str">
        <f>"["&amp;TEXT(VALUE(MID(E5,2,LEN(E5)-2))+1,"#")&amp;"]"</f>
        <v>[2]</v>
      </c>
      <c r="F6" s="23" t="s">
        <v>18</v>
      </c>
      <c r="G6" s="22"/>
      <c r="H6" s="24">
        <v>0.0615</v>
      </c>
      <c r="I6" s="87" t="s">
        <v>41</v>
      </c>
    </row>
    <row r="7" spans="1:9" ht="16.5" thickBot="1">
      <c r="A7" s="1"/>
      <c r="E7" s="35" t="str">
        <f>"["&amp;TEXT(VALUE(MID(E6,2,LEN(E6)-2))+1,"#")&amp;"]"</f>
        <v>[3]</v>
      </c>
      <c r="F7" s="22" t="s">
        <v>21</v>
      </c>
      <c r="G7" s="124"/>
      <c r="H7" s="125">
        <v>1000</v>
      </c>
      <c r="I7" s="87" t="s">
        <v>41</v>
      </c>
    </row>
    <row r="8" spans="1:9" ht="16.5" thickBot="1">
      <c r="A8" s="1"/>
      <c r="E8" s="36" t="str">
        <f>"["&amp;TEXT(VALUE(MID(E7,2,LEN(E7)-2))+1,"#")&amp;"]"</f>
        <v>[4]</v>
      </c>
      <c r="F8" s="25" t="s">
        <v>64</v>
      </c>
      <c r="G8" s="26"/>
      <c r="H8" s="126">
        <v>0.05</v>
      </c>
      <c r="I8" s="86" t="s">
        <v>41</v>
      </c>
    </row>
    <row r="9" spans="1:11" ht="17.25" thickBot="1" thickTop="1">
      <c r="A9" s="1"/>
      <c r="C9" s="41"/>
      <c r="D9" s="22"/>
      <c r="E9" s="13"/>
      <c r="F9" s="13"/>
      <c r="H9" s="41"/>
      <c r="I9" s="28"/>
      <c r="J9" s="22"/>
      <c r="K9" s="32"/>
    </row>
    <row r="10" spans="1:11" ht="20.25" thickBot="1" thickTop="1">
      <c r="A10" s="1"/>
      <c r="B10" s="52"/>
      <c r="C10" s="53"/>
      <c r="D10" s="54"/>
      <c r="E10" s="21"/>
      <c r="F10" s="55"/>
      <c r="G10" s="55" t="s">
        <v>33</v>
      </c>
      <c r="H10" s="53"/>
      <c r="I10" s="56"/>
      <c r="J10" s="54"/>
      <c r="K10" s="57"/>
    </row>
    <row r="11" spans="1:11" ht="16.5" thickTop="1">
      <c r="A11" s="1"/>
      <c r="B11" s="46" t="str">
        <f>"["&amp;TEXT(VALUE(MID(E8,2,LEN(E8)-2))+1,"#")&amp;"]"</f>
        <v>[5]</v>
      </c>
      <c r="C11" s="47" t="s">
        <v>19</v>
      </c>
      <c r="D11" s="48"/>
      <c r="E11" s="99">
        <f>H6*E12</f>
        <v>43.05</v>
      </c>
      <c r="F11" s="49" t="str">
        <f>"="&amp;E6&amp;" * "&amp;B12</f>
        <v>=[2] * [6]</v>
      </c>
      <c r="G11" s="46" t="str">
        <f>"["&amp;TEXT(VALUE(MID(B15,2,LEN(B15)-2))+1,"#")&amp;"]"</f>
        <v>[10]</v>
      </c>
      <c r="H11" s="21" t="s">
        <v>39</v>
      </c>
      <c r="I11" s="21"/>
      <c r="J11" s="93">
        <f>SUMPRODUCT($C26:$C45,I26:I45)</f>
        <v>3860.2025000000003</v>
      </c>
      <c r="K11" s="49" t="str">
        <f>"=E{ "&amp;I18&amp;" }"</f>
        <v>=E{ [22] }</v>
      </c>
    </row>
    <row r="12" spans="1:11" ht="15.75">
      <c r="A12" s="1"/>
      <c r="B12" s="35" t="str">
        <f>"["&amp;TEXT(VALUE(MID(B11,2,LEN(B11)-2))+1,"#")&amp;"]"</f>
        <v>[6]</v>
      </c>
      <c r="C12" s="28" t="s">
        <v>37</v>
      </c>
      <c r="D12" s="22"/>
      <c r="E12" s="14">
        <f>SUMPRODUCT($C26:$C45,F26:F45)</f>
        <v>700</v>
      </c>
      <c r="F12" s="50" t="str">
        <f>"=E{ "&amp;F18&amp;" }"</f>
        <v>=E{ [19] }</v>
      </c>
      <c r="G12" s="35" t="str">
        <f>"["&amp;TEXT(VALUE(MID(G11,2,LEN(G11)-2))+1,"#")&amp;"]"</f>
        <v>[11]</v>
      </c>
      <c r="H12" s="23" t="s">
        <v>20</v>
      </c>
      <c r="I12" s="22"/>
      <c r="J12" s="95">
        <f>J11/H5-1</f>
        <v>0.07227847222222228</v>
      </c>
      <c r="K12" s="50" t="str">
        <f>"="&amp;G11&amp;" / "&amp;E5&amp;" - 1.00"</f>
        <v>=[10] / [1] - 1.00</v>
      </c>
    </row>
    <row r="13" spans="1:11" ht="15.75">
      <c r="A13" s="1"/>
      <c r="B13" s="35" t="str">
        <f>"["&amp;TEXT(VALUE(MID(B12,2,LEN(B12)-2))+1,"#")&amp;"]"</f>
        <v>[7]</v>
      </c>
      <c r="C13" s="28" t="s">
        <v>22</v>
      </c>
      <c r="D13" s="22"/>
      <c r="E13" s="100">
        <f>E11+H5+E12</f>
        <v>4343.05</v>
      </c>
      <c r="F13" s="50" t="str">
        <f>"="&amp;E5&amp;" +"&amp;B11&amp;" +"&amp;B12</f>
        <v>=[1] +[5] +[6]</v>
      </c>
      <c r="G13" s="35" t="str">
        <f>"["&amp;TEXT(VALUE(MID(G12,2,LEN(G12)-2))+1,"#")&amp;"]"</f>
        <v>[12]</v>
      </c>
      <c r="H13" s="27" t="s">
        <v>35</v>
      </c>
      <c r="I13" s="22"/>
      <c r="J13" s="102">
        <f>SUM(D87:J87)</f>
        <v>80.10220000000008</v>
      </c>
      <c r="K13" s="50" t="str">
        <f>"=Sum{ "&amp;A87&amp;" }"</f>
        <v>=Sum{ [38] }</v>
      </c>
    </row>
    <row r="14" spans="1:11" ht="15.75">
      <c r="A14" s="1"/>
      <c r="B14" s="35" t="str">
        <f>"["&amp;TEXT(VALUE(MID(B13,2,LEN(B13)-2))+1,"#")&amp;"]"</f>
        <v>[8]</v>
      </c>
      <c r="C14" s="28" t="s">
        <v>38</v>
      </c>
      <c r="D14" s="22"/>
      <c r="E14" s="14">
        <f>SUMPRODUCT($C26:$C45,H26:H45)</f>
        <v>72.00200000000007</v>
      </c>
      <c r="F14" s="50" t="str">
        <f>"=E{ "&amp;H18&amp;" }"</f>
        <v>=E{ [21] }</v>
      </c>
      <c r="G14" s="35" t="str">
        <f>"["&amp;TEXT(VALUE(MID(G13,2,LEN(G13)-2))+1,"#")&amp;"]"</f>
        <v>[13]</v>
      </c>
      <c r="H14" s="22" t="s">
        <v>8</v>
      </c>
      <c r="I14" s="22"/>
      <c r="J14" s="95">
        <f>J13/H5+H8</f>
        <v>0.07225061111111114</v>
      </c>
      <c r="K14" s="50" t="str">
        <f>"="&amp;G13&amp;" / "&amp;E5&amp;" + "&amp;E8</f>
        <v>=[12] / [1] + [4]</v>
      </c>
    </row>
    <row r="15" spans="1:11" ht="16.5" thickBot="1">
      <c r="A15" s="1"/>
      <c r="B15" s="36" t="str">
        <f>"["&amp;TEXT(VALUE(MID(B14,2,LEN(B14)-2))+1,"#")&amp;"]"</f>
        <v>[9]</v>
      </c>
      <c r="C15" s="25" t="s">
        <v>65</v>
      </c>
      <c r="D15" s="25"/>
      <c r="E15" s="101">
        <f>E14/H5</f>
        <v>0.020000555555555573</v>
      </c>
      <c r="F15" s="51" t="str">
        <f>"="&amp;B14&amp;" / "&amp;E5</f>
        <v>=[8] / [1]</v>
      </c>
      <c r="G15" s="36" t="str">
        <f>"["&amp;TEXT(VALUE(MID(G14,2,LEN(G14)-2))+1,"#")&amp;"]"</f>
        <v>[14]</v>
      </c>
      <c r="H15" s="25" t="s">
        <v>52</v>
      </c>
      <c r="I15" s="25"/>
      <c r="J15" s="101">
        <f>J14-E15-H8</f>
        <v>0.0022500555555555607</v>
      </c>
      <c r="K15" s="51" t="str">
        <f>"="&amp;G14&amp;" - "&amp;B15&amp;" - "&amp;E8</f>
        <v>=[13] - [9] - [4]</v>
      </c>
    </row>
    <row r="16" spans="1:8" ht="16.5" thickTop="1">
      <c r="A16" s="1"/>
      <c r="H16" s="41"/>
    </row>
    <row r="17" ht="12.75">
      <c r="A17" s="1"/>
    </row>
    <row r="18" spans="2:10" ht="15.75">
      <c r="B18" s="34" t="str">
        <f>"["&amp;TEXT(VALUE(MID(G15,2,LEN(G15)-2))+1,"#")&amp;"]"</f>
        <v>[15]</v>
      </c>
      <c r="C18" s="34" t="str">
        <f>"["&amp;TEXT(VALUE(MID(B18,2,LEN(B18)-2))+1,"#")&amp;"]"</f>
        <v>[16]</v>
      </c>
      <c r="D18" s="34" t="str">
        <f aca="true" t="shared" si="0" ref="D18:J18">"["&amp;TEXT(VALUE(MID(C18,2,LEN(C18)-2))+1,"#")&amp;"]"</f>
        <v>[17]</v>
      </c>
      <c r="E18" s="34" t="str">
        <f t="shared" si="0"/>
        <v>[18]</v>
      </c>
      <c r="F18" s="34" t="str">
        <f t="shared" si="0"/>
        <v>[19]</v>
      </c>
      <c r="G18" s="34" t="str">
        <f t="shared" si="0"/>
        <v>[20]</v>
      </c>
      <c r="H18" s="34" t="str">
        <f t="shared" si="0"/>
        <v>[21]</v>
      </c>
      <c r="I18" s="34" t="str">
        <f t="shared" si="0"/>
        <v>[22]</v>
      </c>
      <c r="J18" s="34" t="str">
        <f t="shared" si="0"/>
        <v>[23]</v>
      </c>
    </row>
    <row r="19" spans="2:10" ht="12.75" customHeight="1">
      <c r="B19" s="34"/>
      <c r="C19" s="34"/>
      <c r="D19" s="34"/>
      <c r="E19" s="34"/>
      <c r="F19" s="34"/>
      <c r="G19" s="34"/>
      <c r="H19" s="34"/>
      <c r="I19" s="34"/>
      <c r="J19" s="34"/>
    </row>
    <row r="20" spans="2:10" ht="12.75">
      <c r="B20" s="31"/>
      <c r="C20" s="31"/>
      <c r="D20" s="31"/>
      <c r="E20" s="31"/>
      <c r="F20" s="31"/>
      <c r="G20" s="31" t="s">
        <v>43</v>
      </c>
      <c r="H20" s="31"/>
      <c r="I20" s="31"/>
      <c r="J20" s="30"/>
    </row>
    <row r="21" spans="2:10" ht="12.75">
      <c r="B21" s="31"/>
      <c r="C21" s="38"/>
      <c r="D21" s="31"/>
      <c r="E21" s="31"/>
      <c r="F21" s="31"/>
      <c r="G21" s="31" t="s">
        <v>28</v>
      </c>
      <c r="H21" s="31"/>
      <c r="I21" s="31"/>
      <c r="J21" s="31"/>
    </row>
    <row r="22" spans="2:10" ht="12.75">
      <c r="B22" s="39" t="s">
        <v>68</v>
      </c>
      <c r="C22" s="39" t="s">
        <v>3</v>
      </c>
      <c r="D22" s="39" t="s">
        <v>4</v>
      </c>
      <c r="E22" s="39" t="s">
        <v>24</v>
      </c>
      <c r="F22" s="39" t="s">
        <v>5</v>
      </c>
      <c r="G22" s="31" t="s">
        <v>29</v>
      </c>
      <c r="H22" s="39" t="s">
        <v>6</v>
      </c>
      <c r="I22" s="39" t="s">
        <v>16</v>
      </c>
      <c r="J22" s="39" t="s">
        <v>17</v>
      </c>
    </row>
    <row r="23" spans="3:10" ht="12.75">
      <c r="C23" s="85" t="s">
        <v>41</v>
      </c>
      <c r="D23" s="42" t="s">
        <v>36</v>
      </c>
      <c r="E23" s="85" t="s">
        <v>41</v>
      </c>
      <c r="F23" s="42" t="str">
        <f>"="&amp;E7&amp;" * "&amp;E18</f>
        <v>=[3] * [18]</v>
      </c>
      <c r="G23" s="42" t="str">
        <f>"="&amp;B11&amp;" + "&amp;B12</f>
        <v>=[5] + [6]</v>
      </c>
      <c r="H23" s="42" t="s">
        <v>42</v>
      </c>
      <c r="I23" s="42" t="str">
        <f>"="&amp;B13&amp;" * (1.00 + "&amp;E8&amp;" )"</f>
        <v>=[7] * (1.00 + [4] )</v>
      </c>
      <c r="J23" s="42" t="str">
        <f>"="&amp;H18&amp;" / "&amp;E5</f>
        <v>=[21] / [1]</v>
      </c>
    </row>
    <row r="24" spans="4:10" ht="12.75">
      <c r="D24" s="42" t="str">
        <f>"of "&amp;C18</f>
        <v>of [16]</v>
      </c>
      <c r="E24" s="82"/>
      <c r="F24" s="82"/>
      <c r="G24" s="82"/>
      <c r="H24" s="42" t="str">
        <f>F18&amp;" - "&amp;G18&amp;" )"</f>
        <v>[19] - [20] )</v>
      </c>
      <c r="I24" s="85" t="str">
        <f>"- "&amp;F18</f>
        <v>- [19]</v>
      </c>
      <c r="J24" s="82"/>
    </row>
    <row r="25" ht="13.5" thickBot="1"/>
    <row r="26" spans="2:10" ht="12.75">
      <c r="B26" s="30">
        <v>1</v>
      </c>
      <c r="C26" s="88">
        <v>0.02</v>
      </c>
      <c r="D26" s="3">
        <f>C26+D25</f>
        <v>0.02</v>
      </c>
      <c r="E26" s="88">
        <v>0.35</v>
      </c>
      <c r="F26" s="91">
        <f aca="true" t="shared" si="1" ref="F26:F45">E26*$H$7</f>
        <v>350</v>
      </c>
      <c r="G26" s="91">
        <f>(1+H$6)*E$12</f>
        <v>743.0500000000001</v>
      </c>
      <c r="H26" s="91">
        <f aca="true" t="shared" si="2" ref="H26:H45">MAX(F26-G26,0)</f>
        <v>0</v>
      </c>
      <c r="I26" s="91">
        <f>$E$13*(1+$H$8)-F26</f>
        <v>4210.2025</v>
      </c>
      <c r="J26" s="92">
        <f aca="true" t="shared" si="3" ref="J26:J45">H26/H$5</f>
        <v>0</v>
      </c>
    </row>
    <row r="27" spans="2:10" ht="12.75">
      <c r="B27" s="30">
        <v>2</v>
      </c>
      <c r="C27" s="89">
        <v>0.04</v>
      </c>
      <c r="D27" s="3">
        <f aca="true" t="shared" si="4" ref="D27:D45">C27+D26</f>
        <v>0.06</v>
      </c>
      <c r="E27" s="89">
        <f>E26+0.05</f>
        <v>0.39999999999999997</v>
      </c>
      <c r="F27" s="91">
        <f t="shared" si="1"/>
        <v>399.99999999999994</v>
      </c>
      <c r="G27" s="91">
        <f>G26</f>
        <v>743.0500000000001</v>
      </c>
      <c r="H27" s="91">
        <f t="shared" si="2"/>
        <v>0</v>
      </c>
      <c r="I27" s="91">
        <f aca="true" t="shared" si="5" ref="I27:I45">$E$13*(1+$H$8)-F27</f>
        <v>4160.2025</v>
      </c>
      <c r="J27" s="92">
        <f t="shared" si="3"/>
        <v>0</v>
      </c>
    </row>
    <row r="28" spans="2:10" ht="12.75">
      <c r="B28" s="30">
        <v>3</v>
      </c>
      <c r="C28" s="89">
        <v>0.06</v>
      </c>
      <c r="D28" s="3">
        <f t="shared" si="4"/>
        <v>0.12</v>
      </c>
      <c r="E28" s="89">
        <f aca="true" t="shared" si="6" ref="E28:E45">E27+0.05</f>
        <v>0.44999999999999996</v>
      </c>
      <c r="F28" s="91">
        <f t="shared" si="1"/>
        <v>449.99999999999994</v>
      </c>
      <c r="G28" s="91">
        <f aca="true" t="shared" si="7" ref="G28:G45">G27</f>
        <v>743.0500000000001</v>
      </c>
      <c r="H28" s="91">
        <f t="shared" si="2"/>
        <v>0</v>
      </c>
      <c r="I28" s="91">
        <f t="shared" si="5"/>
        <v>4110.2025</v>
      </c>
      <c r="J28" s="92">
        <f t="shared" si="3"/>
        <v>0</v>
      </c>
    </row>
    <row r="29" spans="2:10" ht="12.75">
      <c r="B29" s="30">
        <v>4</v>
      </c>
      <c r="C29" s="89">
        <v>0.1</v>
      </c>
      <c r="D29" s="3">
        <f t="shared" si="4"/>
        <v>0.22</v>
      </c>
      <c r="E29" s="89">
        <f t="shared" si="6"/>
        <v>0.49999999999999994</v>
      </c>
      <c r="F29" s="91">
        <f t="shared" si="1"/>
        <v>499.99999999999994</v>
      </c>
      <c r="G29" s="91">
        <f t="shared" si="7"/>
        <v>743.0500000000001</v>
      </c>
      <c r="H29" s="91">
        <f t="shared" si="2"/>
        <v>0</v>
      </c>
      <c r="I29" s="91">
        <f t="shared" si="5"/>
        <v>4060.2025000000003</v>
      </c>
      <c r="J29" s="92">
        <f t="shared" si="3"/>
        <v>0</v>
      </c>
    </row>
    <row r="30" spans="2:10" ht="12.75">
      <c r="B30" s="30">
        <v>5</v>
      </c>
      <c r="C30" s="89">
        <v>0.11</v>
      </c>
      <c r="D30" s="3">
        <f t="shared" si="4"/>
        <v>0.33</v>
      </c>
      <c r="E30" s="89">
        <f t="shared" si="6"/>
        <v>0.5499999999999999</v>
      </c>
      <c r="F30" s="91">
        <f t="shared" si="1"/>
        <v>549.9999999999999</v>
      </c>
      <c r="G30" s="91">
        <f t="shared" si="7"/>
        <v>743.0500000000001</v>
      </c>
      <c r="H30" s="91">
        <f t="shared" si="2"/>
        <v>0</v>
      </c>
      <c r="I30" s="91">
        <f t="shared" si="5"/>
        <v>4010.2025000000003</v>
      </c>
      <c r="J30" s="92">
        <f t="shared" si="3"/>
        <v>0</v>
      </c>
    </row>
    <row r="31" spans="2:10" ht="12.75">
      <c r="B31" s="30">
        <v>6</v>
      </c>
      <c r="C31" s="89">
        <v>0.12</v>
      </c>
      <c r="D31" s="3">
        <f t="shared" si="4"/>
        <v>0.45</v>
      </c>
      <c r="E31" s="89">
        <f t="shared" si="6"/>
        <v>0.6</v>
      </c>
      <c r="F31" s="91">
        <f t="shared" si="1"/>
        <v>600</v>
      </c>
      <c r="G31" s="91">
        <f t="shared" si="7"/>
        <v>743.0500000000001</v>
      </c>
      <c r="H31" s="91">
        <f t="shared" si="2"/>
        <v>0</v>
      </c>
      <c r="I31" s="91">
        <f t="shared" si="5"/>
        <v>3960.2025000000003</v>
      </c>
      <c r="J31" s="92">
        <f t="shared" si="3"/>
        <v>0</v>
      </c>
    </row>
    <row r="32" spans="2:10" ht="12.75">
      <c r="B32" s="30">
        <v>7</v>
      </c>
      <c r="C32" s="89">
        <v>0.1</v>
      </c>
      <c r="D32" s="3">
        <f t="shared" si="4"/>
        <v>0.55</v>
      </c>
      <c r="E32" s="89">
        <f t="shared" si="6"/>
        <v>0.65</v>
      </c>
      <c r="F32" s="91">
        <f t="shared" si="1"/>
        <v>650</v>
      </c>
      <c r="G32" s="91">
        <f t="shared" si="7"/>
        <v>743.0500000000001</v>
      </c>
      <c r="H32" s="91">
        <f t="shared" si="2"/>
        <v>0</v>
      </c>
      <c r="I32" s="91">
        <f t="shared" si="5"/>
        <v>3910.2025000000003</v>
      </c>
      <c r="J32" s="92">
        <f t="shared" si="3"/>
        <v>0</v>
      </c>
    </row>
    <row r="33" spans="2:10" ht="12.75">
      <c r="B33" s="30">
        <v>8</v>
      </c>
      <c r="C33" s="89">
        <v>0.09</v>
      </c>
      <c r="D33" s="3">
        <f t="shared" si="4"/>
        <v>0.64</v>
      </c>
      <c r="E33" s="89">
        <f t="shared" si="6"/>
        <v>0.7000000000000001</v>
      </c>
      <c r="F33" s="91">
        <f t="shared" si="1"/>
        <v>700.0000000000001</v>
      </c>
      <c r="G33" s="91">
        <f t="shared" si="7"/>
        <v>743.0500000000001</v>
      </c>
      <c r="H33" s="91">
        <f t="shared" si="2"/>
        <v>0</v>
      </c>
      <c r="I33" s="91">
        <f t="shared" si="5"/>
        <v>3860.2025000000003</v>
      </c>
      <c r="J33" s="92">
        <f t="shared" si="3"/>
        <v>0</v>
      </c>
    </row>
    <row r="34" spans="2:10" ht="12.75">
      <c r="B34" s="30">
        <v>9</v>
      </c>
      <c r="C34" s="89">
        <v>0.06</v>
      </c>
      <c r="D34" s="3">
        <f t="shared" si="4"/>
        <v>0.7</v>
      </c>
      <c r="E34" s="89">
        <f t="shared" si="6"/>
        <v>0.7500000000000001</v>
      </c>
      <c r="F34" s="91">
        <f t="shared" si="1"/>
        <v>750.0000000000001</v>
      </c>
      <c r="G34" s="91">
        <f t="shared" si="7"/>
        <v>743.0500000000001</v>
      </c>
      <c r="H34" s="91">
        <f t="shared" si="2"/>
        <v>6.9500000000000455</v>
      </c>
      <c r="I34" s="91">
        <f t="shared" si="5"/>
        <v>3810.2025000000003</v>
      </c>
      <c r="J34" s="92">
        <f t="shared" si="3"/>
        <v>0.0019305555555555682</v>
      </c>
    </row>
    <row r="35" spans="2:10" ht="12.75">
      <c r="B35" s="30">
        <v>10</v>
      </c>
      <c r="C35" s="89">
        <v>0.05</v>
      </c>
      <c r="D35" s="3">
        <f t="shared" si="4"/>
        <v>0.75</v>
      </c>
      <c r="E35" s="89">
        <f t="shared" si="6"/>
        <v>0.8000000000000002</v>
      </c>
      <c r="F35" s="91">
        <f t="shared" si="1"/>
        <v>800.0000000000001</v>
      </c>
      <c r="G35" s="91">
        <f t="shared" si="7"/>
        <v>743.0500000000001</v>
      </c>
      <c r="H35" s="91">
        <f t="shared" si="2"/>
        <v>56.950000000000045</v>
      </c>
      <c r="I35" s="91">
        <f t="shared" si="5"/>
        <v>3760.2025000000003</v>
      </c>
      <c r="J35" s="92">
        <f t="shared" si="3"/>
        <v>0.015819444444444455</v>
      </c>
    </row>
    <row r="36" spans="2:10" ht="12.75">
      <c r="B36" s="30">
        <v>11</v>
      </c>
      <c r="C36" s="89">
        <v>0.04</v>
      </c>
      <c r="D36" s="3">
        <f t="shared" si="4"/>
        <v>0.79</v>
      </c>
      <c r="E36" s="89">
        <f t="shared" si="6"/>
        <v>0.8500000000000002</v>
      </c>
      <c r="F36" s="91">
        <f t="shared" si="1"/>
        <v>850.0000000000002</v>
      </c>
      <c r="G36" s="91">
        <f t="shared" si="7"/>
        <v>743.0500000000001</v>
      </c>
      <c r="H36" s="91">
        <f t="shared" si="2"/>
        <v>106.95000000000016</v>
      </c>
      <c r="I36" s="91">
        <f t="shared" si="5"/>
        <v>3710.2025000000003</v>
      </c>
      <c r="J36" s="92">
        <f t="shared" si="3"/>
        <v>0.029708333333333378</v>
      </c>
    </row>
    <row r="37" spans="2:10" ht="12.75">
      <c r="B37" s="30">
        <v>12</v>
      </c>
      <c r="C37" s="89">
        <v>0.04</v>
      </c>
      <c r="D37" s="3">
        <f t="shared" si="4"/>
        <v>0.8300000000000001</v>
      </c>
      <c r="E37" s="89">
        <f t="shared" si="6"/>
        <v>0.9000000000000002</v>
      </c>
      <c r="F37" s="91">
        <f t="shared" si="1"/>
        <v>900.0000000000002</v>
      </c>
      <c r="G37" s="91">
        <f t="shared" si="7"/>
        <v>743.0500000000001</v>
      </c>
      <c r="H37" s="91">
        <f t="shared" si="2"/>
        <v>156.95000000000016</v>
      </c>
      <c r="I37" s="91">
        <f t="shared" si="5"/>
        <v>3660.2025000000003</v>
      </c>
      <c r="J37" s="92">
        <f t="shared" si="3"/>
        <v>0.043597222222222266</v>
      </c>
    </row>
    <row r="38" spans="2:10" ht="12.75">
      <c r="B38" s="30">
        <v>13</v>
      </c>
      <c r="C38" s="89">
        <v>0.03</v>
      </c>
      <c r="D38" s="3">
        <f t="shared" si="4"/>
        <v>0.8600000000000001</v>
      </c>
      <c r="E38" s="89">
        <f t="shared" si="6"/>
        <v>0.9500000000000003</v>
      </c>
      <c r="F38" s="91">
        <f t="shared" si="1"/>
        <v>950.0000000000003</v>
      </c>
      <c r="G38" s="91">
        <f t="shared" si="7"/>
        <v>743.0500000000001</v>
      </c>
      <c r="H38" s="91">
        <f t="shared" si="2"/>
        <v>206.95000000000027</v>
      </c>
      <c r="I38" s="91">
        <f t="shared" si="5"/>
        <v>3610.2025</v>
      </c>
      <c r="J38" s="92">
        <f t="shared" si="3"/>
        <v>0.05748611111111119</v>
      </c>
    </row>
    <row r="39" spans="2:10" ht="12.75">
      <c r="B39" s="30">
        <v>14</v>
      </c>
      <c r="C39" s="89">
        <v>0.03</v>
      </c>
      <c r="D39" s="3">
        <f t="shared" si="4"/>
        <v>0.8900000000000001</v>
      </c>
      <c r="E39" s="89">
        <f t="shared" si="6"/>
        <v>1.0000000000000002</v>
      </c>
      <c r="F39" s="91">
        <f t="shared" si="1"/>
        <v>1000.0000000000002</v>
      </c>
      <c r="G39" s="91">
        <f t="shared" si="7"/>
        <v>743.0500000000001</v>
      </c>
      <c r="H39" s="91">
        <f t="shared" si="2"/>
        <v>256.95000000000016</v>
      </c>
      <c r="I39" s="91">
        <f t="shared" si="5"/>
        <v>3560.2025000000003</v>
      </c>
      <c r="J39" s="92">
        <f t="shared" si="3"/>
        <v>0.07137500000000005</v>
      </c>
    </row>
    <row r="40" spans="2:10" ht="12.75">
      <c r="B40" s="30">
        <v>15</v>
      </c>
      <c r="C40" s="89">
        <v>0.03</v>
      </c>
      <c r="D40" s="3">
        <f t="shared" si="4"/>
        <v>0.9200000000000002</v>
      </c>
      <c r="E40" s="89">
        <f t="shared" si="6"/>
        <v>1.0500000000000003</v>
      </c>
      <c r="F40" s="91">
        <f t="shared" si="1"/>
        <v>1050.0000000000002</v>
      </c>
      <c r="G40" s="91">
        <f t="shared" si="7"/>
        <v>743.0500000000001</v>
      </c>
      <c r="H40" s="91">
        <f t="shared" si="2"/>
        <v>306.95000000000016</v>
      </c>
      <c r="I40" s="91">
        <f t="shared" si="5"/>
        <v>3510.2025000000003</v>
      </c>
      <c r="J40" s="92">
        <f t="shared" si="3"/>
        <v>0.08526388888888893</v>
      </c>
    </row>
    <row r="41" spans="2:10" ht="12.75">
      <c r="B41" s="30">
        <v>16</v>
      </c>
      <c r="C41" s="89">
        <v>0.02</v>
      </c>
      <c r="D41" s="3">
        <f t="shared" si="4"/>
        <v>0.9400000000000002</v>
      </c>
      <c r="E41" s="89">
        <f t="shared" si="6"/>
        <v>1.1000000000000003</v>
      </c>
      <c r="F41" s="91">
        <f t="shared" si="1"/>
        <v>1100.0000000000002</v>
      </c>
      <c r="G41" s="91">
        <f t="shared" si="7"/>
        <v>743.0500000000001</v>
      </c>
      <c r="H41" s="91">
        <f t="shared" si="2"/>
        <v>356.95000000000016</v>
      </c>
      <c r="I41" s="91">
        <f t="shared" si="5"/>
        <v>3460.2025000000003</v>
      </c>
      <c r="J41" s="92">
        <f t="shared" si="3"/>
        <v>0.09915277777777783</v>
      </c>
    </row>
    <row r="42" spans="2:10" ht="12.75">
      <c r="B42" s="30">
        <v>17</v>
      </c>
      <c r="C42" s="89">
        <v>0.02</v>
      </c>
      <c r="D42" s="3">
        <f t="shared" si="4"/>
        <v>0.9600000000000002</v>
      </c>
      <c r="E42" s="89">
        <f t="shared" si="6"/>
        <v>1.1500000000000004</v>
      </c>
      <c r="F42" s="91">
        <f t="shared" si="1"/>
        <v>1150.0000000000005</v>
      </c>
      <c r="G42" s="91">
        <f t="shared" si="7"/>
        <v>743.0500000000001</v>
      </c>
      <c r="H42" s="91">
        <f t="shared" si="2"/>
        <v>406.9500000000004</v>
      </c>
      <c r="I42" s="91">
        <f t="shared" si="5"/>
        <v>3410.2025</v>
      </c>
      <c r="J42" s="92">
        <f t="shared" si="3"/>
        <v>0.11304166666666678</v>
      </c>
    </row>
    <row r="43" spans="2:10" ht="12.75">
      <c r="B43" s="30">
        <v>18</v>
      </c>
      <c r="C43" s="89">
        <v>0.02</v>
      </c>
      <c r="D43" s="3">
        <f t="shared" si="4"/>
        <v>0.9800000000000002</v>
      </c>
      <c r="E43" s="89">
        <f t="shared" si="6"/>
        <v>1.2000000000000004</v>
      </c>
      <c r="F43" s="91">
        <f t="shared" si="1"/>
        <v>1200.0000000000005</v>
      </c>
      <c r="G43" s="91">
        <f t="shared" si="7"/>
        <v>743.0500000000001</v>
      </c>
      <c r="H43" s="91">
        <f t="shared" si="2"/>
        <v>456.9500000000004</v>
      </c>
      <c r="I43" s="91">
        <f t="shared" si="5"/>
        <v>3360.2025</v>
      </c>
      <c r="J43" s="92">
        <f t="shared" si="3"/>
        <v>0.12693055555555566</v>
      </c>
    </row>
    <row r="44" spans="2:10" ht="12.75">
      <c r="B44" s="30">
        <v>19</v>
      </c>
      <c r="C44" s="89">
        <v>0.01</v>
      </c>
      <c r="D44" s="3">
        <f t="shared" si="4"/>
        <v>0.9900000000000002</v>
      </c>
      <c r="E44" s="89">
        <f t="shared" si="6"/>
        <v>1.2500000000000004</v>
      </c>
      <c r="F44" s="91">
        <f t="shared" si="1"/>
        <v>1250.0000000000005</v>
      </c>
      <c r="G44" s="91">
        <f t="shared" si="7"/>
        <v>743.0500000000001</v>
      </c>
      <c r="H44" s="91">
        <f t="shared" si="2"/>
        <v>506.9500000000004</v>
      </c>
      <c r="I44" s="91">
        <f t="shared" si="5"/>
        <v>3310.2025</v>
      </c>
      <c r="J44" s="92">
        <f t="shared" si="3"/>
        <v>0.14081944444444455</v>
      </c>
    </row>
    <row r="45" spans="2:10" ht="13.5" thickBot="1">
      <c r="B45" s="37">
        <v>20</v>
      </c>
      <c r="C45" s="90">
        <v>0.01</v>
      </c>
      <c r="D45" s="3">
        <f t="shared" si="4"/>
        <v>1.0000000000000002</v>
      </c>
      <c r="E45" s="90">
        <f t="shared" si="6"/>
        <v>1.3000000000000005</v>
      </c>
      <c r="F45" s="91">
        <f t="shared" si="1"/>
        <v>1300.0000000000005</v>
      </c>
      <c r="G45" s="91">
        <f t="shared" si="7"/>
        <v>743.0500000000001</v>
      </c>
      <c r="H45" s="91">
        <f t="shared" si="2"/>
        <v>556.9500000000004</v>
      </c>
      <c r="I45" s="91">
        <f t="shared" si="5"/>
        <v>3260.2025</v>
      </c>
      <c r="J45" s="92">
        <f t="shared" si="3"/>
        <v>0.15470833333333345</v>
      </c>
    </row>
    <row r="46" spans="1:9" ht="12.75">
      <c r="A46" s="37"/>
      <c r="B46" s="2"/>
      <c r="C46" s="3"/>
      <c r="D46" s="2"/>
      <c r="E46" s="4"/>
      <c r="F46" s="15"/>
      <c r="G46" s="4"/>
      <c r="H46" s="4"/>
      <c r="I46" s="7"/>
    </row>
    <row r="47" spans="1:12" ht="26.25">
      <c r="A47" s="43" t="str">
        <f>A1</f>
        <v>Exhibit 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26.25">
      <c r="A48" s="45" t="str">
        <f>A2</f>
        <v>BASE CASE</v>
      </c>
      <c r="B48" s="44"/>
      <c r="C48" s="44"/>
      <c r="D48" s="44"/>
      <c r="E48" s="44"/>
      <c r="F48" s="45"/>
      <c r="G48" s="44"/>
      <c r="H48" s="44"/>
      <c r="I48" s="44"/>
      <c r="J48" s="44"/>
      <c r="K48" s="44"/>
      <c r="L48" s="44"/>
    </row>
    <row r="49" spans="6:9" ht="13.5" thickBot="1">
      <c r="F49" s="5"/>
      <c r="I49" s="9"/>
    </row>
    <row r="50" spans="2:10" ht="20.25" thickBot="1" thickTop="1">
      <c r="B50" s="20"/>
      <c r="C50" s="21"/>
      <c r="D50" s="67"/>
      <c r="E50" s="67"/>
      <c r="F50" s="29" t="s">
        <v>23</v>
      </c>
      <c r="G50" s="67"/>
      <c r="H50" s="67"/>
      <c r="I50" s="67"/>
      <c r="J50" s="68"/>
    </row>
    <row r="51" spans="2:10" ht="13.5" thickBot="1">
      <c r="B51" s="69"/>
      <c r="C51" s="127" t="s">
        <v>67</v>
      </c>
      <c r="D51" s="128">
        <v>1</v>
      </c>
      <c r="E51" s="128">
        <v>2</v>
      </c>
      <c r="F51" s="128">
        <v>3</v>
      </c>
      <c r="G51" s="128">
        <v>4</v>
      </c>
      <c r="H51" s="128">
        <v>5</v>
      </c>
      <c r="I51" s="128">
        <v>6</v>
      </c>
      <c r="J51" s="129">
        <v>7</v>
      </c>
    </row>
    <row r="52" spans="2:11" ht="16.5" thickTop="1">
      <c r="B52" s="70" t="str">
        <f>"["&amp;TEXT(VALUE(MID(J18,2,LEN(J18)-2))+1,"#")&amp;"]"</f>
        <v>[24]</v>
      </c>
      <c r="C52" s="71" t="s">
        <v>0</v>
      </c>
      <c r="D52" s="11">
        <v>0.25</v>
      </c>
      <c r="E52" s="12">
        <v>0.25</v>
      </c>
      <c r="F52" s="12">
        <v>0.25</v>
      </c>
      <c r="G52" s="12">
        <v>0.25</v>
      </c>
      <c r="H52" s="12">
        <v>1</v>
      </c>
      <c r="I52" s="12">
        <v>2</v>
      </c>
      <c r="J52" s="75">
        <v>999.99</v>
      </c>
      <c r="K52" s="83" t="s">
        <v>41</v>
      </c>
    </row>
    <row r="53" spans="2:11" ht="16.5" thickBot="1">
      <c r="B53" s="65" t="str">
        <f>"["&amp;TEXT(VALUE(MID(B52,2,LEN(B52)-2))+1,"#")&amp;"]"</f>
        <v>[25]</v>
      </c>
      <c r="C53" s="72" t="s">
        <v>1</v>
      </c>
      <c r="D53" s="76">
        <v>0</v>
      </c>
      <c r="E53" s="73">
        <v>0.25</v>
      </c>
      <c r="F53" s="73">
        <v>0.5</v>
      </c>
      <c r="G53" s="73">
        <v>0.75</v>
      </c>
      <c r="H53" s="73">
        <v>1</v>
      </c>
      <c r="I53" s="73">
        <v>2</v>
      </c>
      <c r="J53" s="74">
        <v>4</v>
      </c>
      <c r="K53" s="86" t="s">
        <v>41</v>
      </c>
    </row>
    <row r="54" ht="13.5" thickTop="1"/>
    <row r="55" spans="2:10" s="103" customFormat="1" ht="15.75">
      <c r="B55" s="34" t="str">
        <f>B18</f>
        <v>[15]</v>
      </c>
      <c r="D55" s="34" t="str">
        <f>"["&amp;TEXT(VALUE(MID(B53,2,LEN(B53)-2))+1,"#")&amp;"]"</f>
        <v>[26]</v>
      </c>
      <c r="E55" s="34" t="str">
        <f aca="true" t="shared" si="8" ref="E55:J55">"["&amp;TEXT(VALUE(MID(D55,2,LEN(D55)-2))+1,"#")&amp;"]"</f>
        <v>[27]</v>
      </c>
      <c r="F55" s="34" t="str">
        <f t="shared" si="8"/>
        <v>[28]</v>
      </c>
      <c r="G55" s="34" t="str">
        <f t="shared" si="8"/>
        <v>[29]</v>
      </c>
      <c r="H55" s="34" t="str">
        <f t="shared" si="8"/>
        <v>[30]</v>
      </c>
      <c r="I55" s="34" t="str">
        <f t="shared" si="8"/>
        <v>[31]</v>
      </c>
      <c r="J55" s="34" t="str">
        <f t="shared" si="8"/>
        <v>[32]</v>
      </c>
    </row>
    <row r="56" ht="13.5" thickBot="1"/>
    <row r="57" spans="4:11" ht="13.5" thickTop="1">
      <c r="D57" s="10" t="s">
        <v>9</v>
      </c>
      <c r="E57" s="10" t="s">
        <v>10</v>
      </c>
      <c r="F57" s="10" t="s">
        <v>11</v>
      </c>
      <c r="G57" s="10" t="s">
        <v>12</v>
      </c>
      <c r="H57" s="10" t="s">
        <v>13</v>
      </c>
      <c r="I57" s="10" t="s">
        <v>14</v>
      </c>
      <c r="J57" s="10" t="s">
        <v>15</v>
      </c>
      <c r="K57" s="83" t="s">
        <v>44</v>
      </c>
    </row>
    <row r="58" spans="2:11" ht="12.75">
      <c r="B58" s="39" t="s">
        <v>68</v>
      </c>
      <c r="D58" s="10" t="s">
        <v>6</v>
      </c>
      <c r="E58" s="10" t="s">
        <v>6</v>
      </c>
      <c r="F58" s="10" t="s">
        <v>6</v>
      </c>
      <c r="G58" s="10" t="s">
        <v>6</v>
      </c>
      <c r="H58" s="10" t="s">
        <v>6</v>
      </c>
      <c r="I58" s="10" t="s">
        <v>6</v>
      </c>
      <c r="J58" s="10" t="s">
        <v>6</v>
      </c>
      <c r="K58" s="84" t="str">
        <f>"MAX( 0, MIN( "&amp;H18&amp;" -"</f>
        <v>MAX( 0, MIN( [21] -</v>
      </c>
    </row>
    <row r="59" spans="8:11" ht="13.5" thickBot="1">
      <c r="H59" s="6"/>
      <c r="I59" s="6"/>
      <c r="K59" s="81" t="str">
        <f>B53&amp;" * "&amp;E5&amp;", "&amp;B52&amp;" * "&amp;E5&amp;" ) )"</f>
        <v>[25] * [1], [24] * [1] ) )</v>
      </c>
    </row>
    <row r="60" spans="2:10" ht="13.5" thickTop="1">
      <c r="B60" s="30">
        <v>1</v>
      </c>
      <c r="D60" s="8">
        <f aca="true" t="shared" si="9" ref="D60:J69">MAX(0,MIN($H26-D$53*$H$5,D$52*$H$5))</f>
        <v>0</v>
      </c>
      <c r="E60" s="8">
        <f t="shared" si="9"/>
        <v>0</v>
      </c>
      <c r="F60" s="8">
        <f t="shared" si="9"/>
        <v>0</v>
      </c>
      <c r="G60" s="8">
        <f t="shared" si="9"/>
        <v>0</v>
      </c>
      <c r="H60" s="8">
        <f t="shared" si="9"/>
        <v>0</v>
      </c>
      <c r="I60" s="8">
        <f t="shared" si="9"/>
        <v>0</v>
      </c>
      <c r="J60" s="8">
        <f t="shared" si="9"/>
        <v>0</v>
      </c>
    </row>
    <row r="61" spans="2:10" ht="12.75">
      <c r="B61" s="30">
        <v>2</v>
      </c>
      <c r="D61" s="8">
        <f t="shared" si="9"/>
        <v>0</v>
      </c>
      <c r="E61" s="8">
        <f t="shared" si="9"/>
        <v>0</v>
      </c>
      <c r="F61" s="8">
        <f t="shared" si="9"/>
        <v>0</v>
      </c>
      <c r="G61" s="8">
        <f t="shared" si="9"/>
        <v>0</v>
      </c>
      <c r="H61" s="8">
        <f t="shared" si="9"/>
        <v>0</v>
      </c>
      <c r="I61" s="8">
        <f t="shared" si="9"/>
        <v>0</v>
      </c>
      <c r="J61" s="8">
        <f t="shared" si="9"/>
        <v>0</v>
      </c>
    </row>
    <row r="62" spans="2:11" ht="12.75">
      <c r="B62" s="30">
        <v>3</v>
      </c>
      <c r="D62" s="8">
        <f t="shared" si="9"/>
        <v>0</v>
      </c>
      <c r="E62" s="8">
        <f t="shared" si="9"/>
        <v>0</v>
      </c>
      <c r="F62" s="8">
        <f t="shared" si="9"/>
        <v>0</v>
      </c>
      <c r="G62" s="8">
        <f t="shared" si="9"/>
        <v>0</v>
      </c>
      <c r="H62" s="8">
        <f t="shared" si="9"/>
        <v>0</v>
      </c>
      <c r="I62" s="8">
        <f t="shared" si="9"/>
        <v>0</v>
      </c>
      <c r="J62" s="8">
        <f t="shared" si="9"/>
        <v>0</v>
      </c>
      <c r="K62" s="40"/>
    </row>
    <row r="63" spans="2:10" ht="12.75">
      <c r="B63" s="30">
        <v>4</v>
      </c>
      <c r="D63" s="8">
        <f t="shared" si="9"/>
        <v>0</v>
      </c>
      <c r="E63" s="8">
        <f t="shared" si="9"/>
        <v>0</v>
      </c>
      <c r="F63" s="8">
        <f t="shared" si="9"/>
        <v>0</v>
      </c>
      <c r="G63" s="8">
        <f t="shared" si="9"/>
        <v>0</v>
      </c>
      <c r="H63" s="8">
        <f t="shared" si="9"/>
        <v>0</v>
      </c>
      <c r="I63" s="8">
        <f t="shared" si="9"/>
        <v>0</v>
      </c>
      <c r="J63" s="8">
        <f t="shared" si="9"/>
        <v>0</v>
      </c>
    </row>
    <row r="64" spans="2:10" ht="12.75">
      <c r="B64" s="30">
        <v>5</v>
      </c>
      <c r="D64" s="8">
        <f t="shared" si="9"/>
        <v>0</v>
      </c>
      <c r="E64" s="8">
        <f t="shared" si="9"/>
        <v>0</v>
      </c>
      <c r="F64" s="8">
        <f t="shared" si="9"/>
        <v>0</v>
      </c>
      <c r="G64" s="8">
        <f t="shared" si="9"/>
        <v>0</v>
      </c>
      <c r="H64" s="8">
        <f t="shared" si="9"/>
        <v>0</v>
      </c>
      <c r="I64" s="8">
        <f t="shared" si="9"/>
        <v>0</v>
      </c>
      <c r="J64" s="8">
        <f t="shared" si="9"/>
        <v>0</v>
      </c>
    </row>
    <row r="65" spans="2:10" ht="12.75">
      <c r="B65" s="30">
        <v>6</v>
      </c>
      <c r="D65" s="8">
        <f t="shared" si="9"/>
        <v>0</v>
      </c>
      <c r="E65" s="8">
        <f t="shared" si="9"/>
        <v>0</v>
      </c>
      <c r="F65" s="8">
        <f t="shared" si="9"/>
        <v>0</v>
      </c>
      <c r="G65" s="8">
        <f t="shared" si="9"/>
        <v>0</v>
      </c>
      <c r="H65" s="8">
        <f t="shared" si="9"/>
        <v>0</v>
      </c>
      <c r="I65" s="8">
        <f t="shared" si="9"/>
        <v>0</v>
      </c>
      <c r="J65" s="8">
        <f t="shared" si="9"/>
        <v>0</v>
      </c>
    </row>
    <row r="66" spans="2:10" ht="12.75">
      <c r="B66" s="30">
        <v>7</v>
      </c>
      <c r="D66" s="8">
        <f t="shared" si="9"/>
        <v>0</v>
      </c>
      <c r="E66" s="8">
        <f t="shared" si="9"/>
        <v>0</v>
      </c>
      <c r="F66" s="8">
        <f t="shared" si="9"/>
        <v>0</v>
      </c>
      <c r="G66" s="8">
        <f t="shared" si="9"/>
        <v>0</v>
      </c>
      <c r="H66" s="8">
        <f t="shared" si="9"/>
        <v>0</v>
      </c>
      <c r="I66" s="8">
        <f t="shared" si="9"/>
        <v>0</v>
      </c>
      <c r="J66" s="8">
        <f t="shared" si="9"/>
        <v>0</v>
      </c>
    </row>
    <row r="67" spans="2:10" ht="12.75">
      <c r="B67" s="30">
        <v>8</v>
      </c>
      <c r="D67" s="8">
        <f t="shared" si="9"/>
        <v>0</v>
      </c>
      <c r="E67" s="8">
        <f t="shared" si="9"/>
        <v>0</v>
      </c>
      <c r="F67" s="8">
        <f t="shared" si="9"/>
        <v>0</v>
      </c>
      <c r="G67" s="8">
        <f t="shared" si="9"/>
        <v>0</v>
      </c>
      <c r="H67" s="8">
        <f t="shared" si="9"/>
        <v>0</v>
      </c>
      <c r="I67" s="8">
        <f t="shared" si="9"/>
        <v>0</v>
      </c>
      <c r="J67" s="8">
        <f t="shared" si="9"/>
        <v>0</v>
      </c>
    </row>
    <row r="68" spans="2:10" ht="12.75">
      <c r="B68" s="30">
        <v>9</v>
      </c>
      <c r="D68" s="8">
        <f t="shared" si="9"/>
        <v>6.9500000000000455</v>
      </c>
      <c r="E68" s="8">
        <f t="shared" si="9"/>
        <v>0</v>
      </c>
      <c r="F68" s="8">
        <f t="shared" si="9"/>
        <v>0</v>
      </c>
      <c r="G68" s="8">
        <f t="shared" si="9"/>
        <v>0</v>
      </c>
      <c r="H68" s="8">
        <f t="shared" si="9"/>
        <v>0</v>
      </c>
      <c r="I68" s="8">
        <f t="shared" si="9"/>
        <v>0</v>
      </c>
      <c r="J68" s="8">
        <f t="shared" si="9"/>
        <v>0</v>
      </c>
    </row>
    <row r="69" spans="2:10" ht="12.75">
      <c r="B69" s="30">
        <v>10</v>
      </c>
      <c r="D69" s="8">
        <f t="shared" si="9"/>
        <v>56.950000000000045</v>
      </c>
      <c r="E69" s="8">
        <f t="shared" si="9"/>
        <v>0</v>
      </c>
      <c r="F69" s="8">
        <f t="shared" si="9"/>
        <v>0</v>
      </c>
      <c r="G69" s="8">
        <f t="shared" si="9"/>
        <v>0</v>
      </c>
      <c r="H69" s="8">
        <f t="shared" si="9"/>
        <v>0</v>
      </c>
      <c r="I69" s="8">
        <f t="shared" si="9"/>
        <v>0</v>
      </c>
      <c r="J69" s="8">
        <f t="shared" si="9"/>
        <v>0</v>
      </c>
    </row>
    <row r="70" spans="2:10" ht="12.75">
      <c r="B70" s="30">
        <v>11</v>
      </c>
      <c r="D70" s="8">
        <f aca="true" t="shared" si="10" ref="D70:J79">MAX(0,MIN($H36-D$53*$H$5,D$52*$H$5))</f>
        <v>106.95000000000016</v>
      </c>
      <c r="E70" s="8">
        <f t="shared" si="10"/>
        <v>0</v>
      </c>
      <c r="F70" s="8">
        <f t="shared" si="10"/>
        <v>0</v>
      </c>
      <c r="G70" s="8">
        <f t="shared" si="10"/>
        <v>0</v>
      </c>
      <c r="H70" s="8">
        <f t="shared" si="10"/>
        <v>0</v>
      </c>
      <c r="I70" s="8">
        <f t="shared" si="10"/>
        <v>0</v>
      </c>
      <c r="J70" s="8">
        <f t="shared" si="10"/>
        <v>0</v>
      </c>
    </row>
    <row r="71" spans="2:10" ht="12.75">
      <c r="B71" s="30">
        <v>12</v>
      </c>
      <c r="D71" s="8">
        <f t="shared" si="10"/>
        <v>156.95000000000016</v>
      </c>
      <c r="E71" s="8">
        <f t="shared" si="10"/>
        <v>0</v>
      </c>
      <c r="F71" s="8">
        <f t="shared" si="10"/>
        <v>0</v>
      </c>
      <c r="G71" s="8">
        <f t="shared" si="10"/>
        <v>0</v>
      </c>
      <c r="H71" s="8">
        <f t="shared" si="10"/>
        <v>0</v>
      </c>
      <c r="I71" s="8">
        <f t="shared" si="10"/>
        <v>0</v>
      </c>
      <c r="J71" s="8">
        <f t="shared" si="10"/>
        <v>0</v>
      </c>
    </row>
    <row r="72" spans="2:10" ht="12.75">
      <c r="B72" s="30">
        <v>13</v>
      </c>
      <c r="D72" s="8">
        <f t="shared" si="10"/>
        <v>206.95000000000027</v>
      </c>
      <c r="E72" s="8">
        <f t="shared" si="10"/>
        <v>0</v>
      </c>
      <c r="F72" s="8">
        <f t="shared" si="10"/>
        <v>0</v>
      </c>
      <c r="G72" s="8">
        <f t="shared" si="10"/>
        <v>0</v>
      </c>
      <c r="H72" s="8">
        <f t="shared" si="10"/>
        <v>0</v>
      </c>
      <c r="I72" s="8">
        <f t="shared" si="10"/>
        <v>0</v>
      </c>
      <c r="J72" s="8">
        <f t="shared" si="10"/>
        <v>0</v>
      </c>
    </row>
    <row r="73" spans="2:10" ht="12.75">
      <c r="B73" s="30">
        <v>14</v>
      </c>
      <c r="D73" s="8">
        <f t="shared" si="10"/>
        <v>256.95000000000016</v>
      </c>
      <c r="E73" s="8">
        <f t="shared" si="10"/>
        <v>0</v>
      </c>
      <c r="F73" s="8">
        <f t="shared" si="10"/>
        <v>0</v>
      </c>
      <c r="G73" s="8">
        <f t="shared" si="10"/>
        <v>0</v>
      </c>
      <c r="H73" s="8">
        <f t="shared" si="10"/>
        <v>0</v>
      </c>
      <c r="I73" s="8">
        <f t="shared" si="10"/>
        <v>0</v>
      </c>
      <c r="J73" s="8">
        <f t="shared" si="10"/>
        <v>0</v>
      </c>
    </row>
    <row r="74" spans="2:10" ht="12.75">
      <c r="B74" s="30">
        <v>15</v>
      </c>
      <c r="D74" s="8">
        <f t="shared" si="10"/>
        <v>306.95000000000016</v>
      </c>
      <c r="E74" s="8">
        <f t="shared" si="10"/>
        <v>0</v>
      </c>
      <c r="F74" s="8">
        <f t="shared" si="10"/>
        <v>0</v>
      </c>
      <c r="G74" s="8">
        <f t="shared" si="10"/>
        <v>0</v>
      </c>
      <c r="H74" s="8">
        <f t="shared" si="10"/>
        <v>0</v>
      </c>
      <c r="I74" s="8">
        <f t="shared" si="10"/>
        <v>0</v>
      </c>
      <c r="J74" s="8">
        <f t="shared" si="10"/>
        <v>0</v>
      </c>
    </row>
    <row r="75" spans="2:10" ht="12.75">
      <c r="B75" s="30">
        <v>16</v>
      </c>
      <c r="D75" s="8">
        <f t="shared" si="10"/>
        <v>356.95000000000016</v>
      </c>
      <c r="E75" s="8">
        <f t="shared" si="10"/>
        <v>0</v>
      </c>
      <c r="F75" s="8">
        <f t="shared" si="10"/>
        <v>0</v>
      </c>
      <c r="G75" s="8">
        <f t="shared" si="10"/>
        <v>0</v>
      </c>
      <c r="H75" s="8">
        <f t="shared" si="10"/>
        <v>0</v>
      </c>
      <c r="I75" s="8">
        <f t="shared" si="10"/>
        <v>0</v>
      </c>
      <c r="J75" s="8">
        <f t="shared" si="10"/>
        <v>0</v>
      </c>
    </row>
    <row r="76" spans="2:10" ht="12.75">
      <c r="B76" s="30">
        <v>17</v>
      </c>
      <c r="D76" s="8">
        <f t="shared" si="10"/>
        <v>406.9500000000004</v>
      </c>
      <c r="E76" s="8">
        <f t="shared" si="10"/>
        <v>0</v>
      </c>
      <c r="F76" s="8">
        <f t="shared" si="10"/>
        <v>0</v>
      </c>
      <c r="G76" s="8">
        <f t="shared" si="10"/>
        <v>0</v>
      </c>
      <c r="H76" s="8">
        <f t="shared" si="10"/>
        <v>0</v>
      </c>
      <c r="I76" s="8">
        <f t="shared" si="10"/>
        <v>0</v>
      </c>
      <c r="J76" s="8">
        <f t="shared" si="10"/>
        <v>0</v>
      </c>
    </row>
    <row r="77" spans="2:10" ht="12.75">
      <c r="B77" s="30">
        <v>18</v>
      </c>
      <c r="D77" s="8">
        <f t="shared" si="10"/>
        <v>456.9500000000004</v>
      </c>
      <c r="E77" s="8">
        <f t="shared" si="10"/>
        <v>0</v>
      </c>
      <c r="F77" s="8">
        <f t="shared" si="10"/>
        <v>0</v>
      </c>
      <c r="G77" s="8">
        <f t="shared" si="10"/>
        <v>0</v>
      </c>
      <c r="H77" s="8">
        <f t="shared" si="10"/>
        <v>0</v>
      </c>
      <c r="I77" s="8">
        <f t="shared" si="10"/>
        <v>0</v>
      </c>
      <c r="J77" s="8">
        <f t="shared" si="10"/>
        <v>0</v>
      </c>
    </row>
    <row r="78" spans="2:10" ht="12.75">
      <c r="B78" s="30">
        <v>19</v>
      </c>
      <c r="D78" s="8">
        <f t="shared" si="10"/>
        <v>506.9500000000004</v>
      </c>
      <c r="E78" s="8">
        <f t="shared" si="10"/>
        <v>0</v>
      </c>
      <c r="F78" s="8">
        <f t="shared" si="10"/>
        <v>0</v>
      </c>
      <c r="G78" s="8">
        <f t="shared" si="10"/>
        <v>0</v>
      </c>
      <c r="H78" s="8">
        <f t="shared" si="10"/>
        <v>0</v>
      </c>
      <c r="I78" s="8">
        <f t="shared" si="10"/>
        <v>0</v>
      </c>
      <c r="J78" s="8">
        <f t="shared" si="10"/>
        <v>0</v>
      </c>
    </row>
    <row r="79" spans="2:10" ht="12.75">
      <c r="B79" s="37">
        <v>20</v>
      </c>
      <c r="D79" s="8">
        <f t="shared" si="10"/>
        <v>556.9500000000004</v>
      </c>
      <c r="E79" s="8">
        <f t="shared" si="10"/>
        <v>0</v>
      </c>
      <c r="F79" s="8">
        <f t="shared" si="10"/>
        <v>0</v>
      </c>
      <c r="G79" s="8">
        <f t="shared" si="10"/>
        <v>0</v>
      </c>
      <c r="H79" s="8">
        <f t="shared" si="10"/>
        <v>0</v>
      </c>
      <c r="I79" s="8">
        <f t="shared" si="10"/>
        <v>0</v>
      </c>
      <c r="J79" s="8">
        <f t="shared" si="10"/>
        <v>0</v>
      </c>
    </row>
    <row r="80" spans="4:10" ht="12.75">
      <c r="D80" s="8"/>
      <c r="E80" s="8"/>
      <c r="F80" s="8"/>
      <c r="G80" s="8"/>
      <c r="H80" s="8"/>
      <c r="I80" s="8"/>
      <c r="J80" s="8"/>
    </row>
    <row r="81" ht="13.5" thickBot="1"/>
    <row r="82" spans="1:11" ht="16.5" thickTop="1">
      <c r="A82" s="77" t="str">
        <f>"["&amp;TEXT(VALUE(MID(J55,2,LEN(J55)-2))+1,"#")&amp;"]"</f>
        <v>[33]</v>
      </c>
      <c r="B82" s="60" t="s">
        <v>40</v>
      </c>
      <c r="C82" s="21"/>
      <c r="D82" s="93">
        <f aca="true" t="shared" si="11" ref="D82:J82">SUMPRODUCT($C26:$C45,D60:D79)</f>
        <v>72.00200000000007</v>
      </c>
      <c r="E82" s="93">
        <f t="shared" si="11"/>
        <v>0</v>
      </c>
      <c r="F82" s="93">
        <f t="shared" si="11"/>
        <v>0</v>
      </c>
      <c r="G82" s="93">
        <f t="shared" si="11"/>
        <v>0</v>
      </c>
      <c r="H82" s="93">
        <f t="shared" si="11"/>
        <v>0</v>
      </c>
      <c r="I82" s="93">
        <f t="shared" si="11"/>
        <v>0</v>
      </c>
      <c r="J82" s="94">
        <f t="shared" si="11"/>
        <v>0</v>
      </c>
      <c r="K82" s="49" t="s">
        <v>66</v>
      </c>
    </row>
    <row r="83" spans="1:11" ht="16.5" thickBot="1">
      <c r="A83" s="61" t="str">
        <f>"["&amp;TEXT(VALUE(MID(A82,2,LEN(A82)-2))+1,"#")&amp;"]"</f>
        <v>[34]</v>
      </c>
      <c r="B83" s="62" t="s">
        <v>25</v>
      </c>
      <c r="C83" s="22"/>
      <c r="D83" s="95">
        <f aca="true" t="shared" si="12" ref="D83:J83">D$82/$H$5/D$52</f>
        <v>0.0800022222222223</v>
      </c>
      <c r="E83" s="95">
        <f t="shared" si="12"/>
        <v>0</v>
      </c>
      <c r="F83" s="95">
        <f t="shared" si="12"/>
        <v>0</v>
      </c>
      <c r="G83" s="95">
        <f t="shared" si="12"/>
        <v>0</v>
      </c>
      <c r="H83" s="95">
        <f t="shared" si="12"/>
        <v>0</v>
      </c>
      <c r="I83" s="95">
        <f t="shared" si="12"/>
        <v>0</v>
      </c>
      <c r="J83" s="96">
        <f t="shared" si="12"/>
        <v>0</v>
      </c>
      <c r="K83" s="50" t="str">
        <f>"="&amp;A82&amp;" / "&amp;E5&amp;" / "&amp;B52</f>
        <v>=[33] / [1] / [24]</v>
      </c>
    </row>
    <row r="84" spans="1:11" ht="15.75">
      <c r="A84" s="61" t="str">
        <f>"["&amp;TEXT(VALUE(MID(A83,2,LEN(A83)-2))+1,"#")&amp;"]"</f>
        <v>[35]</v>
      </c>
      <c r="B84" s="63" t="s">
        <v>26</v>
      </c>
      <c r="C84" s="22"/>
      <c r="D84" s="18">
        <v>0.1</v>
      </c>
      <c r="E84" s="19">
        <v>0.25</v>
      </c>
      <c r="F84" s="19">
        <v>0.5</v>
      </c>
      <c r="G84" s="19">
        <v>0.75</v>
      </c>
      <c r="H84" s="19">
        <v>1</v>
      </c>
      <c r="I84" s="19">
        <v>2</v>
      </c>
      <c r="J84" s="78">
        <v>4</v>
      </c>
      <c r="K84" s="80" t="s">
        <v>41</v>
      </c>
    </row>
    <row r="85" spans="1:11" ht="16.5" thickBot="1">
      <c r="A85" s="61" t="str">
        <f>"["&amp;TEXT(VALUE(MID(A84,2,LEN(A84)-2))+1,"#")&amp;"]"</f>
        <v>[36]</v>
      </c>
      <c r="B85" s="63" t="s">
        <v>27</v>
      </c>
      <c r="C85" s="22"/>
      <c r="D85" s="16">
        <v>0.001</v>
      </c>
      <c r="E85" s="17">
        <v>0.001</v>
      </c>
      <c r="F85" s="17">
        <v>0.001</v>
      </c>
      <c r="G85" s="17">
        <v>0.001</v>
      </c>
      <c r="H85" s="17">
        <v>0.001</v>
      </c>
      <c r="I85" s="17">
        <v>0.001</v>
      </c>
      <c r="J85" s="79">
        <v>0.001</v>
      </c>
      <c r="K85" s="80" t="s">
        <v>41</v>
      </c>
    </row>
    <row r="86" spans="1:11" ht="15.75">
      <c r="A86" s="61" t="str">
        <f>"["&amp;TEXT(VALUE(MID(A85,2,LEN(A85)-2))+1,"#")&amp;"]"</f>
        <v>[37]</v>
      </c>
      <c r="B86" s="64" t="s">
        <v>34</v>
      </c>
      <c r="C86" s="22"/>
      <c r="D86" s="95">
        <f>IF(D83&gt;0,D85+(1+D84)*D83,0)</f>
        <v>0.08900244444444454</v>
      </c>
      <c r="E86" s="95">
        <f aca="true" t="shared" si="13" ref="E86:J86">IF(E83&gt;0,E85+(1+E84)*E83,0)</f>
        <v>0</v>
      </c>
      <c r="F86" s="95">
        <f t="shared" si="13"/>
        <v>0</v>
      </c>
      <c r="G86" s="95">
        <f t="shared" si="13"/>
        <v>0</v>
      </c>
      <c r="H86" s="95">
        <f t="shared" si="13"/>
        <v>0</v>
      </c>
      <c r="I86" s="95">
        <f t="shared" si="13"/>
        <v>0</v>
      </c>
      <c r="J86" s="96">
        <f t="shared" si="13"/>
        <v>0</v>
      </c>
      <c r="K86" s="50" t="str">
        <f>"="&amp;A83&amp;" *(1+"&amp;A84&amp;" ) + "&amp;A85</f>
        <v>=[34] *(1+[35] ) + [36]</v>
      </c>
    </row>
    <row r="87" spans="1:11" ht="16.5" thickBot="1">
      <c r="A87" s="65" t="str">
        <f>"["&amp;TEXT(VALUE(MID(A86,2,LEN(A86)-2))+1,"#")&amp;"]"</f>
        <v>[38]</v>
      </c>
      <c r="B87" s="66" t="s">
        <v>7</v>
      </c>
      <c r="C87" s="25"/>
      <c r="D87" s="97">
        <f aca="true" t="shared" si="14" ref="D87:J87">D86*D52*$H5</f>
        <v>80.10220000000008</v>
      </c>
      <c r="E87" s="97">
        <f t="shared" si="14"/>
        <v>0</v>
      </c>
      <c r="F87" s="97">
        <f t="shared" si="14"/>
        <v>0</v>
      </c>
      <c r="G87" s="97">
        <f t="shared" si="14"/>
        <v>0</v>
      </c>
      <c r="H87" s="97">
        <f t="shared" si="14"/>
        <v>0</v>
      </c>
      <c r="I87" s="97">
        <f t="shared" si="14"/>
        <v>0</v>
      </c>
      <c r="J87" s="98">
        <f t="shared" si="14"/>
        <v>0</v>
      </c>
      <c r="K87" s="81" t="str">
        <f>"="&amp;A86&amp;" * "&amp;E5&amp;" * "&amp;B52</f>
        <v>=[37] * [1] * [24]</v>
      </c>
    </row>
    <row r="88" ht="16.5" thickTop="1">
      <c r="A88" s="33"/>
    </row>
  </sheetData>
  <printOptions horizontalCentered="1" verticalCentered="1"/>
  <pageMargins left="0.75" right="0.75" top="0.49" bottom="0.5" header="0.5" footer="0.5"/>
  <pageSetup fitToHeight="2" fitToWidth="1" horizontalDpi="300" verticalDpi="300" orientation="landscape" scale="79" r:id="rId1"/>
  <headerFooter alignWithMargins="0">
    <oddHeader>&amp;R&amp;"Arial,Bold Italic"&amp;14Page &amp;P of &amp;N</oddHeader>
  </headerFooter>
  <rowBreaks count="1" manualBreakCount="1">
    <brk id="46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14">
    <pageSetUpPr fitToPage="1"/>
  </sheetPr>
  <dimension ref="A1:L88"/>
  <sheetViews>
    <sheetView tabSelected="1" zoomScale="90" zoomScaleNormal="90" workbookViewId="0" topLeftCell="A1">
      <selection activeCell="H5" sqref="H5"/>
    </sheetView>
  </sheetViews>
  <sheetFormatPr defaultColWidth="9.140625" defaultRowHeight="12.75"/>
  <cols>
    <col min="1" max="1" width="13.140625" style="0" customWidth="1"/>
    <col min="2" max="2" width="13.421875" style="0" customWidth="1"/>
    <col min="3" max="4" width="13.00390625" style="0" customWidth="1"/>
    <col min="5" max="5" width="13.28125" style="0" customWidth="1"/>
    <col min="6" max="6" width="15.7109375" style="0" customWidth="1"/>
    <col min="7" max="7" width="13.8515625" style="0" customWidth="1"/>
    <col min="8" max="8" width="12.140625" style="0" customWidth="1"/>
    <col min="9" max="9" width="15.421875" style="0" customWidth="1"/>
    <col min="10" max="10" width="13.7109375" style="0" customWidth="1"/>
    <col min="11" max="11" width="19.8515625" style="0" customWidth="1"/>
    <col min="12" max="12" width="14.140625" style="0" customWidth="1"/>
    <col min="13" max="16" width="11.421875" style="0" customWidth="1"/>
    <col min="17" max="17" width="11.7109375" style="0" customWidth="1"/>
  </cols>
  <sheetData>
    <row r="1" spans="1:12" ht="26.25">
      <c r="A1" s="43" t="s">
        <v>62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6.25">
      <c r="A2" s="45" t="s">
        <v>70</v>
      </c>
      <c r="B2" s="44"/>
      <c r="C2" s="44"/>
      <c r="D2" s="44"/>
      <c r="E2" s="44"/>
      <c r="F2" s="45"/>
      <c r="G2" s="44"/>
      <c r="H2" s="44"/>
      <c r="I2" s="44"/>
      <c r="J2" s="44"/>
      <c r="K2" s="44"/>
      <c r="L2" s="44"/>
    </row>
    <row r="3" ht="13.5" thickBot="1">
      <c r="A3" s="1"/>
    </row>
    <row r="4" spans="1:11" ht="20.25" thickBot="1" thickTop="1">
      <c r="A4" s="1"/>
      <c r="E4" s="52"/>
      <c r="F4" s="55"/>
      <c r="G4" s="55" t="s">
        <v>32</v>
      </c>
      <c r="H4" s="54"/>
      <c r="I4" s="59"/>
      <c r="J4" s="13"/>
      <c r="K4" s="22"/>
    </row>
    <row r="5" spans="1:12" ht="17.25" thickBot="1" thickTop="1">
      <c r="A5" s="1"/>
      <c r="E5" s="106" t="s">
        <v>31</v>
      </c>
      <c r="F5" s="111" t="s">
        <v>75</v>
      </c>
      <c r="G5" s="115"/>
      <c r="H5" s="116">
        <v>550</v>
      </c>
      <c r="I5" s="83" t="s">
        <v>41</v>
      </c>
      <c r="L5" s="40"/>
    </row>
    <row r="6" spans="1:9" ht="16.5" thickBot="1">
      <c r="A6" s="1"/>
      <c r="E6" s="106" t="str">
        <f>"["&amp;TEXT(VALUE(MID(E5,2,LEN(E5)-2))+1,"#")&amp;"]"</f>
        <v>[2]</v>
      </c>
      <c r="F6" s="110" t="s">
        <v>18</v>
      </c>
      <c r="G6" s="115"/>
      <c r="H6" s="118">
        <v>0.0707</v>
      </c>
      <c r="I6" s="87" t="s">
        <v>41</v>
      </c>
    </row>
    <row r="7" spans="1:9" ht="16.5" thickBot="1">
      <c r="A7" s="1"/>
      <c r="E7" s="35" t="str">
        <f>"["&amp;TEXT(VALUE(MID(E6,2,LEN(E6)-2))+1,"#")&amp;"]"</f>
        <v>[3]</v>
      </c>
      <c r="F7" s="22" t="s">
        <v>21</v>
      </c>
      <c r="G7" s="124"/>
      <c r="H7" s="125">
        <v>1000</v>
      </c>
      <c r="I7" s="87" t="s">
        <v>41</v>
      </c>
    </row>
    <row r="8" spans="1:9" ht="16.5" thickBot="1">
      <c r="A8" s="1"/>
      <c r="E8" s="36" t="str">
        <f>"["&amp;TEXT(VALUE(MID(E7,2,LEN(E7)-2))+1,"#")&amp;"]"</f>
        <v>[4]</v>
      </c>
      <c r="F8" s="25" t="s">
        <v>64</v>
      </c>
      <c r="G8" s="26"/>
      <c r="H8" s="126">
        <v>0.05</v>
      </c>
      <c r="I8" s="86" t="s">
        <v>41</v>
      </c>
    </row>
    <row r="9" spans="1:11" ht="17.25" thickBot="1" thickTop="1">
      <c r="A9" s="1"/>
      <c r="C9" s="41"/>
      <c r="D9" s="22"/>
      <c r="E9" s="13"/>
      <c r="F9" s="13"/>
      <c r="H9" s="41"/>
      <c r="I9" s="28"/>
      <c r="J9" s="22"/>
      <c r="K9" s="32"/>
    </row>
    <row r="10" spans="1:11" ht="20.25" thickBot="1" thickTop="1">
      <c r="A10" s="1"/>
      <c r="B10" s="52"/>
      <c r="C10" s="53"/>
      <c r="D10" s="54"/>
      <c r="E10" s="21"/>
      <c r="F10" s="55"/>
      <c r="G10" s="55" t="s">
        <v>33</v>
      </c>
      <c r="H10" s="53"/>
      <c r="I10" s="56"/>
      <c r="J10" s="54"/>
      <c r="K10" s="57"/>
    </row>
    <row r="11" spans="1:11" ht="16.5" thickTop="1">
      <c r="A11" s="1"/>
      <c r="B11" s="46" t="str">
        <f>"["&amp;TEXT(VALUE(MID(E8,2,LEN(E8)-2))+1,"#")&amp;"]"</f>
        <v>[5]</v>
      </c>
      <c r="C11" s="47" t="s">
        <v>19</v>
      </c>
      <c r="D11" s="48"/>
      <c r="E11" s="99">
        <f>H6*E12</f>
        <v>49.49</v>
      </c>
      <c r="F11" s="49" t="str">
        <f>"="&amp;E6&amp;" * "&amp;B12</f>
        <v>=[2] * [6]</v>
      </c>
      <c r="G11" s="46" t="str">
        <f>"["&amp;TEXT(VALUE(MID(B15,2,LEN(B15)-2))+1,"#")&amp;"]"</f>
        <v>[10]</v>
      </c>
      <c r="H11" s="21" t="s">
        <v>39</v>
      </c>
      <c r="I11" s="21"/>
      <c r="J11" s="93">
        <f>SUMPRODUCT($C26:$C45,I26:I45)</f>
        <v>664.4644999999999</v>
      </c>
      <c r="K11" s="49" t="str">
        <f>"=E{ "&amp;I18&amp;" }"</f>
        <v>=E{ [22] }</v>
      </c>
    </row>
    <row r="12" spans="1:11" ht="15.75">
      <c r="A12" s="1"/>
      <c r="B12" s="35" t="str">
        <f>"["&amp;TEXT(VALUE(MID(B11,2,LEN(B11)-2))+1,"#")&amp;"]"</f>
        <v>[6]</v>
      </c>
      <c r="C12" s="28" t="s">
        <v>37</v>
      </c>
      <c r="D12" s="22"/>
      <c r="E12" s="14">
        <f>SUMPRODUCT($C26:$C45,F26:F45)</f>
        <v>700</v>
      </c>
      <c r="F12" s="50" t="str">
        <f>"=E{ "&amp;F18&amp;" }"</f>
        <v>=E{ [19] }</v>
      </c>
      <c r="G12" s="106" t="str">
        <f>"["&amp;TEXT(VALUE(MID(G11,2,LEN(G11)-2))+1,"#")&amp;"]"</f>
        <v>[11]</v>
      </c>
      <c r="H12" s="110" t="s">
        <v>20</v>
      </c>
      <c r="I12" s="111"/>
      <c r="J12" s="107">
        <f>J11/H5-1</f>
        <v>0.20811727272727265</v>
      </c>
      <c r="K12" s="112" t="str">
        <f>"="&amp;G11&amp;" / "&amp;E5&amp;" - 1.00"</f>
        <v>=[10] / [1] - 1.00</v>
      </c>
    </row>
    <row r="13" spans="1:11" ht="15.75">
      <c r="A13" s="1"/>
      <c r="B13" s="35" t="str">
        <f>"["&amp;TEXT(VALUE(MID(B12,2,LEN(B12)-2))+1,"#")&amp;"]"</f>
        <v>[7]</v>
      </c>
      <c r="C13" s="28" t="s">
        <v>22</v>
      </c>
      <c r="D13" s="22"/>
      <c r="E13" s="100">
        <f>E11+H5+E12</f>
        <v>1299.49</v>
      </c>
      <c r="F13" s="50" t="str">
        <f>"="&amp;E5&amp;" +"&amp;B11&amp;" +"&amp;B12</f>
        <v>=[1] +[5] +[6]</v>
      </c>
      <c r="G13" s="35" t="str">
        <f>"["&amp;TEXT(VALUE(MID(G12,2,LEN(G12)-2))+1,"#")&amp;"]"</f>
        <v>[12]</v>
      </c>
      <c r="H13" s="27" t="s">
        <v>35</v>
      </c>
      <c r="I13" s="22"/>
      <c r="J13" s="102">
        <f>SUM(D87:J87)</f>
        <v>86.96967500000011</v>
      </c>
      <c r="K13" s="50" t="str">
        <f>"=Sum{ "&amp;A87&amp;" }"</f>
        <v>=Sum{ [38] }</v>
      </c>
    </row>
    <row r="14" spans="1:11" ht="15.75">
      <c r="A14" s="1"/>
      <c r="B14" s="35" t="str">
        <f>"["&amp;TEXT(VALUE(MID(B13,2,LEN(B13)-2))+1,"#")&amp;"]"</f>
        <v>[8]</v>
      </c>
      <c r="C14" s="28" t="s">
        <v>38</v>
      </c>
      <c r="D14" s="22"/>
      <c r="E14" s="14">
        <f>SUMPRODUCT($C26:$C45,H26:H45)</f>
        <v>69.68360000000007</v>
      </c>
      <c r="F14" s="50" t="str">
        <f>"=E{ "&amp;H18&amp;" }"</f>
        <v>=E{ [21] }</v>
      </c>
      <c r="G14" s="106" t="str">
        <f>"["&amp;TEXT(VALUE(MID(G13,2,LEN(G13)-2))+1,"#")&amp;"]"</f>
        <v>[13]</v>
      </c>
      <c r="H14" s="111" t="s">
        <v>8</v>
      </c>
      <c r="I14" s="111"/>
      <c r="J14" s="107">
        <f>J13/H5+H8</f>
        <v>0.208126681818182</v>
      </c>
      <c r="K14" s="112" t="str">
        <f>"="&amp;G13&amp;" / "&amp;E5&amp;" + "&amp;E8</f>
        <v>=[12] / [1] + [4]</v>
      </c>
    </row>
    <row r="15" spans="1:11" ht="16.5" thickBot="1">
      <c r="A15" s="1"/>
      <c r="B15" s="108" t="str">
        <f>"["&amp;TEXT(VALUE(MID(B14,2,LEN(B14)-2))+1,"#")&amp;"]"</f>
        <v>[9]</v>
      </c>
      <c r="C15" s="113" t="s">
        <v>65</v>
      </c>
      <c r="D15" s="113"/>
      <c r="E15" s="109">
        <f>E14/H5</f>
        <v>0.12669745454545467</v>
      </c>
      <c r="F15" s="114" t="str">
        <f>"="&amp;B14&amp;" / "&amp;E5</f>
        <v>=[8] / [1]</v>
      </c>
      <c r="G15" s="108" t="str">
        <f>"["&amp;TEXT(VALUE(MID(G14,2,LEN(G14)-2))+1,"#")&amp;"]"</f>
        <v>[14]</v>
      </c>
      <c r="H15" s="113" t="s">
        <v>52</v>
      </c>
      <c r="I15" s="113"/>
      <c r="J15" s="109">
        <f>J14-E15-H8</f>
        <v>0.03142922727272733</v>
      </c>
      <c r="K15" s="114" t="str">
        <f>"="&amp;G14&amp;" - "&amp;B15&amp;" - "&amp;E8</f>
        <v>=[13] - [9] - [4]</v>
      </c>
    </row>
    <row r="16" spans="1:8" ht="16.5" thickTop="1">
      <c r="A16" s="1"/>
      <c r="H16" s="41"/>
    </row>
    <row r="17" ht="12.75">
      <c r="A17" s="1"/>
    </row>
    <row r="18" spans="2:10" ht="15.75">
      <c r="B18" s="34" t="str">
        <f>"["&amp;TEXT(VALUE(MID(G15,2,LEN(G15)-2))+1,"#")&amp;"]"</f>
        <v>[15]</v>
      </c>
      <c r="C18" s="34" t="str">
        <f aca="true" t="shared" si="0" ref="C18:J18">"["&amp;TEXT(VALUE(MID(B18,2,LEN(B18)-2))+1,"#")&amp;"]"</f>
        <v>[16]</v>
      </c>
      <c r="D18" s="34" t="str">
        <f t="shared" si="0"/>
        <v>[17]</v>
      </c>
      <c r="E18" s="34" t="str">
        <f t="shared" si="0"/>
        <v>[18]</v>
      </c>
      <c r="F18" s="34" t="str">
        <f t="shared" si="0"/>
        <v>[19]</v>
      </c>
      <c r="G18" s="34" t="str">
        <f t="shared" si="0"/>
        <v>[20]</v>
      </c>
      <c r="H18" s="34" t="str">
        <f t="shared" si="0"/>
        <v>[21]</v>
      </c>
      <c r="I18" s="34" t="str">
        <f t="shared" si="0"/>
        <v>[22]</v>
      </c>
      <c r="J18" s="34" t="str">
        <f t="shared" si="0"/>
        <v>[23]</v>
      </c>
    </row>
    <row r="19" spans="2:10" ht="12.75" customHeight="1">
      <c r="B19" s="34"/>
      <c r="C19" s="34"/>
      <c r="D19" s="34"/>
      <c r="E19" s="34"/>
      <c r="F19" s="34"/>
      <c r="G19" s="34"/>
      <c r="H19" s="34"/>
      <c r="I19" s="34"/>
      <c r="J19" s="34"/>
    </row>
    <row r="20" spans="2:10" ht="12.75">
      <c r="B20" s="31"/>
      <c r="C20" s="31"/>
      <c r="D20" s="31"/>
      <c r="E20" s="31"/>
      <c r="F20" s="31"/>
      <c r="G20" s="31" t="s">
        <v>43</v>
      </c>
      <c r="H20" s="31"/>
      <c r="I20" s="31"/>
      <c r="J20" s="30"/>
    </row>
    <row r="21" spans="2:10" ht="12.75">
      <c r="B21" s="31"/>
      <c r="C21" s="38"/>
      <c r="D21" s="31"/>
      <c r="E21" s="31"/>
      <c r="F21" s="31"/>
      <c r="G21" s="31" t="s">
        <v>28</v>
      </c>
      <c r="H21" s="31"/>
      <c r="I21" s="31"/>
      <c r="J21" s="31"/>
    </row>
    <row r="22" spans="2:10" ht="12.75">
      <c r="B22" s="39" t="s">
        <v>68</v>
      </c>
      <c r="C22" s="39" t="s">
        <v>3</v>
      </c>
      <c r="D22" s="39" t="s">
        <v>4</v>
      </c>
      <c r="E22" s="39" t="s">
        <v>24</v>
      </c>
      <c r="F22" s="39" t="s">
        <v>5</v>
      </c>
      <c r="G22" s="31" t="s">
        <v>29</v>
      </c>
      <c r="H22" s="39" t="s">
        <v>6</v>
      </c>
      <c r="I22" s="39" t="s">
        <v>16</v>
      </c>
      <c r="J22" s="39" t="s">
        <v>17</v>
      </c>
    </row>
    <row r="23" spans="3:10" ht="12.75">
      <c r="C23" s="85" t="s">
        <v>41</v>
      </c>
      <c r="D23" s="42" t="s">
        <v>36</v>
      </c>
      <c r="E23" s="85" t="s">
        <v>41</v>
      </c>
      <c r="F23" s="42" t="str">
        <f>"="&amp;E7&amp;" * "&amp;E18</f>
        <v>=[3] * [18]</v>
      </c>
      <c r="G23" s="42" t="str">
        <f>"="&amp;B11&amp;" + "&amp;B12</f>
        <v>=[5] + [6]</v>
      </c>
      <c r="H23" s="42" t="s">
        <v>42</v>
      </c>
      <c r="I23" s="42" t="str">
        <f>"="&amp;B13&amp;" * (1.00 + "&amp;E8&amp;" )"</f>
        <v>=[7] * (1.00 + [4] )</v>
      </c>
      <c r="J23" s="42" t="str">
        <f>"="&amp;H18&amp;" / "&amp;E5</f>
        <v>=[21] / [1]</v>
      </c>
    </row>
    <row r="24" spans="4:10" ht="12.75">
      <c r="D24" s="42" t="str">
        <f>"of "&amp;C18</f>
        <v>of [16]</v>
      </c>
      <c r="E24" s="82"/>
      <c r="F24" s="82"/>
      <c r="G24" s="82"/>
      <c r="H24" s="42" t="str">
        <f>F18&amp;" - "&amp;G18&amp;" )"</f>
        <v>[19] - [20] )</v>
      </c>
      <c r="I24" s="85" t="str">
        <f>"- "&amp;F18</f>
        <v>- [19]</v>
      </c>
      <c r="J24" s="82"/>
    </row>
    <row r="25" ht="13.5" thickBot="1"/>
    <row r="26" spans="2:10" ht="12.75">
      <c r="B26" s="30">
        <v>1</v>
      </c>
      <c r="C26" s="88">
        <v>0.02</v>
      </c>
      <c r="D26" s="3">
        <f aca="true" t="shared" si="1" ref="D26:D45">C26+D25</f>
        <v>0.02</v>
      </c>
      <c r="E26" s="88">
        <v>0.35</v>
      </c>
      <c r="F26" s="91">
        <f aca="true" t="shared" si="2" ref="F26:F45">E26*$H$7</f>
        <v>350</v>
      </c>
      <c r="G26" s="91">
        <f>(1+H$6)*E$12</f>
        <v>749.49</v>
      </c>
      <c r="H26" s="91">
        <f aca="true" t="shared" si="3" ref="H26:H45">MAX(F26-G26,0)</f>
        <v>0</v>
      </c>
      <c r="I26" s="91">
        <f>$E$13*(1+$H$8)-F26</f>
        <v>1014.4645</v>
      </c>
      <c r="J26" s="92">
        <f aca="true" t="shared" si="4" ref="J26:J45">H26/H$5</f>
        <v>0</v>
      </c>
    </row>
    <row r="27" spans="2:10" ht="12.75">
      <c r="B27" s="30">
        <v>2</v>
      </c>
      <c r="C27" s="89">
        <v>0.04</v>
      </c>
      <c r="D27" s="3">
        <f t="shared" si="1"/>
        <v>0.06</v>
      </c>
      <c r="E27" s="89">
        <f aca="true" t="shared" si="5" ref="E27:E45">E26+0.05</f>
        <v>0.39999999999999997</v>
      </c>
      <c r="F27" s="91">
        <f t="shared" si="2"/>
        <v>399.99999999999994</v>
      </c>
      <c r="G27" s="91">
        <f aca="true" t="shared" si="6" ref="G27:G45">G26</f>
        <v>749.49</v>
      </c>
      <c r="H27" s="91">
        <f t="shared" si="3"/>
        <v>0</v>
      </c>
      <c r="I27" s="91">
        <f aca="true" t="shared" si="7" ref="I27:I45">$E$13*(1+$H$8)-F27</f>
        <v>964.4645</v>
      </c>
      <c r="J27" s="92">
        <f t="shared" si="4"/>
        <v>0</v>
      </c>
    </row>
    <row r="28" spans="2:10" ht="12.75">
      <c r="B28" s="30">
        <v>3</v>
      </c>
      <c r="C28" s="89">
        <v>0.06</v>
      </c>
      <c r="D28" s="3">
        <f t="shared" si="1"/>
        <v>0.12</v>
      </c>
      <c r="E28" s="89">
        <f t="shared" si="5"/>
        <v>0.44999999999999996</v>
      </c>
      <c r="F28" s="91">
        <f t="shared" si="2"/>
        <v>449.99999999999994</v>
      </c>
      <c r="G28" s="91">
        <f t="shared" si="6"/>
        <v>749.49</v>
      </c>
      <c r="H28" s="91">
        <f t="shared" si="3"/>
        <v>0</v>
      </c>
      <c r="I28" s="91">
        <f t="shared" si="7"/>
        <v>914.4645</v>
      </c>
      <c r="J28" s="92">
        <f t="shared" si="4"/>
        <v>0</v>
      </c>
    </row>
    <row r="29" spans="2:10" ht="12.75">
      <c r="B29" s="30">
        <v>4</v>
      </c>
      <c r="C29" s="89">
        <v>0.1</v>
      </c>
      <c r="D29" s="3">
        <f t="shared" si="1"/>
        <v>0.22</v>
      </c>
      <c r="E29" s="89">
        <f t="shared" si="5"/>
        <v>0.49999999999999994</v>
      </c>
      <c r="F29" s="91">
        <f t="shared" si="2"/>
        <v>499.99999999999994</v>
      </c>
      <c r="G29" s="91">
        <f t="shared" si="6"/>
        <v>749.49</v>
      </c>
      <c r="H29" s="91">
        <f t="shared" si="3"/>
        <v>0</v>
      </c>
      <c r="I29" s="91">
        <f t="shared" si="7"/>
        <v>864.4645</v>
      </c>
      <c r="J29" s="92">
        <f t="shared" si="4"/>
        <v>0</v>
      </c>
    </row>
    <row r="30" spans="2:10" ht="12.75">
      <c r="B30" s="30">
        <v>5</v>
      </c>
      <c r="C30" s="89">
        <v>0.11</v>
      </c>
      <c r="D30" s="3">
        <f t="shared" si="1"/>
        <v>0.33</v>
      </c>
      <c r="E30" s="89">
        <f t="shared" si="5"/>
        <v>0.5499999999999999</v>
      </c>
      <c r="F30" s="91">
        <f t="shared" si="2"/>
        <v>549.9999999999999</v>
      </c>
      <c r="G30" s="91">
        <f t="shared" si="6"/>
        <v>749.49</v>
      </c>
      <c r="H30" s="91">
        <f t="shared" si="3"/>
        <v>0</v>
      </c>
      <c r="I30" s="91">
        <f t="shared" si="7"/>
        <v>814.4645000000002</v>
      </c>
      <c r="J30" s="92">
        <f t="shared" si="4"/>
        <v>0</v>
      </c>
    </row>
    <row r="31" spans="2:10" ht="12.75">
      <c r="B31" s="30">
        <v>6</v>
      </c>
      <c r="C31" s="89">
        <v>0.12</v>
      </c>
      <c r="D31" s="3">
        <f t="shared" si="1"/>
        <v>0.45</v>
      </c>
      <c r="E31" s="89">
        <f t="shared" si="5"/>
        <v>0.6</v>
      </c>
      <c r="F31" s="91">
        <f t="shared" si="2"/>
        <v>600</v>
      </c>
      <c r="G31" s="91">
        <f t="shared" si="6"/>
        <v>749.49</v>
      </c>
      <c r="H31" s="91">
        <f t="shared" si="3"/>
        <v>0</v>
      </c>
      <c r="I31" s="91">
        <f t="shared" si="7"/>
        <v>764.4645</v>
      </c>
      <c r="J31" s="92">
        <f t="shared" si="4"/>
        <v>0</v>
      </c>
    </row>
    <row r="32" spans="2:10" ht="12.75">
      <c r="B32" s="30">
        <v>7</v>
      </c>
      <c r="C32" s="89">
        <v>0.1</v>
      </c>
      <c r="D32" s="3">
        <f t="shared" si="1"/>
        <v>0.55</v>
      </c>
      <c r="E32" s="89">
        <f t="shared" si="5"/>
        <v>0.65</v>
      </c>
      <c r="F32" s="91">
        <f t="shared" si="2"/>
        <v>650</v>
      </c>
      <c r="G32" s="91">
        <f t="shared" si="6"/>
        <v>749.49</v>
      </c>
      <c r="H32" s="91">
        <f t="shared" si="3"/>
        <v>0</v>
      </c>
      <c r="I32" s="91">
        <f t="shared" si="7"/>
        <v>714.4645</v>
      </c>
      <c r="J32" s="92">
        <f t="shared" si="4"/>
        <v>0</v>
      </c>
    </row>
    <row r="33" spans="2:10" ht="12.75">
      <c r="B33" s="30">
        <v>8</v>
      </c>
      <c r="C33" s="89">
        <v>0.09</v>
      </c>
      <c r="D33" s="3">
        <f t="shared" si="1"/>
        <v>0.64</v>
      </c>
      <c r="E33" s="89">
        <f t="shared" si="5"/>
        <v>0.7000000000000001</v>
      </c>
      <c r="F33" s="91">
        <f t="shared" si="2"/>
        <v>700.0000000000001</v>
      </c>
      <c r="G33" s="91">
        <f t="shared" si="6"/>
        <v>749.49</v>
      </c>
      <c r="H33" s="91">
        <f t="shared" si="3"/>
        <v>0</v>
      </c>
      <c r="I33" s="91">
        <f t="shared" si="7"/>
        <v>664.4644999999999</v>
      </c>
      <c r="J33" s="92">
        <f t="shared" si="4"/>
        <v>0</v>
      </c>
    </row>
    <row r="34" spans="2:10" ht="12.75">
      <c r="B34" s="30">
        <v>9</v>
      </c>
      <c r="C34" s="89">
        <v>0.06</v>
      </c>
      <c r="D34" s="3">
        <f t="shared" si="1"/>
        <v>0.7</v>
      </c>
      <c r="E34" s="89">
        <f t="shared" si="5"/>
        <v>0.7500000000000001</v>
      </c>
      <c r="F34" s="91">
        <f t="shared" si="2"/>
        <v>750.0000000000001</v>
      </c>
      <c r="G34" s="91">
        <f t="shared" si="6"/>
        <v>749.49</v>
      </c>
      <c r="H34" s="91">
        <f t="shared" si="3"/>
        <v>0.5100000000001046</v>
      </c>
      <c r="I34" s="91">
        <f t="shared" si="7"/>
        <v>614.4644999999999</v>
      </c>
      <c r="J34" s="92">
        <f t="shared" si="4"/>
        <v>0.0009272727272729175</v>
      </c>
    </row>
    <row r="35" spans="2:10" ht="12.75">
      <c r="B35" s="30">
        <v>10</v>
      </c>
      <c r="C35" s="89">
        <v>0.05</v>
      </c>
      <c r="D35" s="3">
        <f t="shared" si="1"/>
        <v>0.75</v>
      </c>
      <c r="E35" s="89">
        <f t="shared" si="5"/>
        <v>0.8000000000000002</v>
      </c>
      <c r="F35" s="91">
        <f t="shared" si="2"/>
        <v>800.0000000000001</v>
      </c>
      <c r="G35" s="91">
        <f t="shared" si="6"/>
        <v>749.49</v>
      </c>
      <c r="H35" s="91">
        <f t="shared" si="3"/>
        <v>50.510000000000105</v>
      </c>
      <c r="I35" s="91">
        <f t="shared" si="7"/>
        <v>564.4644999999999</v>
      </c>
      <c r="J35" s="92">
        <f t="shared" si="4"/>
        <v>0.09183636363636383</v>
      </c>
    </row>
    <row r="36" spans="2:10" ht="12.75">
      <c r="B36" s="30">
        <v>11</v>
      </c>
      <c r="C36" s="89">
        <v>0.04</v>
      </c>
      <c r="D36" s="3">
        <f t="shared" si="1"/>
        <v>0.79</v>
      </c>
      <c r="E36" s="89">
        <f t="shared" si="5"/>
        <v>0.8500000000000002</v>
      </c>
      <c r="F36" s="91">
        <f t="shared" si="2"/>
        <v>850.0000000000002</v>
      </c>
      <c r="G36" s="91">
        <f t="shared" si="6"/>
        <v>749.49</v>
      </c>
      <c r="H36" s="91">
        <f t="shared" si="3"/>
        <v>100.51000000000022</v>
      </c>
      <c r="I36" s="91">
        <f t="shared" si="7"/>
        <v>514.4644999999998</v>
      </c>
      <c r="J36" s="92">
        <f t="shared" si="4"/>
        <v>0.18274545454545493</v>
      </c>
    </row>
    <row r="37" spans="2:10" ht="12.75">
      <c r="B37" s="30">
        <v>12</v>
      </c>
      <c r="C37" s="89">
        <v>0.04</v>
      </c>
      <c r="D37" s="3">
        <f t="shared" si="1"/>
        <v>0.8300000000000001</v>
      </c>
      <c r="E37" s="89">
        <f t="shared" si="5"/>
        <v>0.9000000000000002</v>
      </c>
      <c r="F37" s="91">
        <f t="shared" si="2"/>
        <v>900.0000000000002</v>
      </c>
      <c r="G37" s="91">
        <f t="shared" si="6"/>
        <v>749.49</v>
      </c>
      <c r="H37" s="91">
        <f t="shared" si="3"/>
        <v>150.51000000000022</v>
      </c>
      <c r="I37" s="91">
        <f t="shared" si="7"/>
        <v>464.4644999999998</v>
      </c>
      <c r="J37" s="92">
        <f t="shared" si="4"/>
        <v>0.27365454545454587</v>
      </c>
    </row>
    <row r="38" spans="2:10" ht="12.75">
      <c r="B38" s="30">
        <v>13</v>
      </c>
      <c r="C38" s="89">
        <v>0.03</v>
      </c>
      <c r="D38" s="3">
        <f t="shared" si="1"/>
        <v>0.8600000000000001</v>
      </c>
      <c r="E38" s="89">
        <f t="shared" si="5"/>
        <v>0.9500000000000003</v>
      </c>
      <c r="F38" s="91">
        <f t="shared" si="2"/>
        <v>950.0000000000003</v>
      </c>
      <c r="G38" s="91">
        <f t="shared" si="6"/>
        <v>749.49</v>
      </c>
      <c r="H38" s="91">
        <f t="shared" si="3"/>
        <v>200.51000000000033</v>
      </c>
      <c r="I38" s="91">
        <f t="shared" si="7"/>
        <v>414.4644999999997</v>
      </c>
      <c r="J38" s="92">
        <f t="shared" si="4"/>
        <v>0.364563636363637</v>
      </c>
    </row>
    <row r="39" spans="2:10" ht="12.75">
      <c r="B39" s="30">
        <v>14</v>
      </c>
      <c r="C39" s="89">
        <v>0.03</v>
      </c>
      <c r="D39" s="3">
        <f t="shared" si="1"/>
        <v>0.8900000000000001</v>
      </c>
      <c r="E39" s="89">
        <f t="shared" si="5"/>
        <v>1.0000000000000002</v>
      </c>
      <c r="F39" s="91">
        <f t="shared" si="2"/>
        <v>1000.0000000000002</v>
      </c>
      <c r="G39" s="91">
        <f t="shared" si="6"/>
        <v>749.49</v>
      </c>
      <c r="H39" s="91">
        <f t="shared" si="3"/>
        <v>250.51000000000022</v>
      </c>
      <c r="I39" s="91">
        <f t="shared" si="7"/>
        <v>364.4644999999998</v>
      </c>
      <c r="J39" s="92">
        <f t="shared" si="4"/>
        <v>0.4554727272727277</v>
      </c>
    </row>
    <row r="40" spans="2:10" ht="12.75">
      <c r="B40" s="30">
        <v>15</v>
      </c>
      <c r="C40" s="89">
        <v>0.03</v>
      </c>
      <c r="D40" s="3">
        <f t="shared" si="1"/>
        <v>0.9200000000000002</v>
      </c>
      <c r="E40" s="89">
        <f t="shared" si="5"/>
        <v>1.0500000000000003</v>
      </c>
      <c r="F40" s="91">
        <f t="shared" si="2"/>
        <v>1050.0000000000002</v>
      </c>
      <c r="G40" s="91">
        <f t="shared" si="6"/>
        <v>749.49</v>
      </c>
      <c r="H40" s="91">
        <f t="shared" si="3"/>
        <v>300.5100000000002</v>
      </c>
      <c r="I40" s="91">
        <f t="shared" si="7"/>
        <v>314.4644999999998</v>
      </c>
      <c r="J40" s="92">
        <f t="shared" si="4"/>
        <v>0.5463818181818185</v>
      </c>
    </row>
    <row r="41" spans="2:10" ht="12.75">
      <c r="B41" s="30">
        <v>16</v>
      </c>
      <c r="C41" s="89">
        <v>0.02</v>
      </c>
      <c r="D41" s="3">
        <f t="shared" si="1"/>
        <v>0.9400000000000002</v>
      </c>
      <c r="E41" s="89">
        <f t="shared" si="5"/>
        <v>1.1000000000000003</v>
      </c>
      <c r="F41" s="91">
        <f t="shared" si="2"/>
        <v>1100.0000000000002</v>
      </c>
      <c r="G41" s="91">
        <f t="shared" si="6"/>
        <v>749.49</v>
      </c>
      <c r="H41" s="91">
        <f t="shared" si="3"/>
        <v>350.5100000000002</v>
      </c>
      <c r="I41" s="91">
        <f t="shared" si="7"/>
        <v>264.4644999999998</v>
      </c>
      <c r="J41" s="92">
        <f t="shared" si="4"/>
        <v>0.6372909090909095</v>
      </c>
    </row>
    <row r="42" spans="2:10" ht="12.75">
      <c r="B42" s="30">
        <v>17</v>
      </c>
      <c r="C42" s="89">
        <v>0.02</v>
      </c>
      <c r="D42" s="3">
        <f t="shared" si="1"/>
        <v>0.9600000000000002</v>
      </c>
      <c r="E42" s="89">
        <f t="shared" si="5"/>
        <v>1.1500000000000004</v>
      </c>
      <c r="F42" s="91">
        <f t="shared" si="2"/>
        <v>1150.0000000000005</v>
      </c>
      <c r="G42" s="91">
        <f t="shared" si="6"/>
        <v>749.49</v>
      </c>
      <c r="H42" s="91">
        <f t="shared" si="3"/>
        <v>400.51000000000045</v>
      </c>
      <c r="I42" s="91">
        <f t="shared" si="7"/>
        <v>214.4644999999996</v>
      </c>
      <c r="J42" s="92">
        <f t="shared" si="4"/>
        <v>0.7282000000000008</v>
      </c>
    </row>
    <row r="43" spans="2:10" ht="12.75">
      <c r="B43" s="30">
        <v>18</v>
      </c>
      <c r="C43" s="89">
        <v>0.02</v>
      </c>
      <c r="D43" s="3">
        <f t="shared" si="1"/>
        <v>0.9800000000000002</v>
      </c>
      <c r="E43" s="89">
        <f t="shared" si="5"/>
        <v>1.2000000000000004</v>
      </c>
      <c r="F43" s="91">
        <f t="shared" si="2"/>
        <v>1200.0000000000005</v>
      </c>
      <c r="G43" s="91">
        <f t="shared" si="6"/>
        <v>749.49</v>
      </c>
      <c r="H43" s="91">
        <f t="shared" si="3"/>
        <v>450.51000000000045</v>
      </c>
      <c r="I43" s="91">
        <f t="shared" si="7"/>
        <v>164.4644999999996</v>
      </c>
      <c r="J43" s="92">
        <f t="shared" si="4"/>
        <v>0.8191090909090917</v>
      </c>
    </row>
    <row r="44" spans="2:10" ht="12.75">
      <c r="B44" s="30">
        <v>19</v>
      </c>
      <c r="C44" s="89">
        <v>0.01</v>
      </c>
      <c r="D44" s="3">
        <f t="shared" si="1"/>
        <v>0.9900000000000002</v>
      </c>
      <c r="E44" s="89">
        <f t="shared" si="5"/>
        <v>1.2500000000000004</v>
      </c>
      <c r="F44" s="91">
        <f t="shared" si="2"/>
        <v>1250.0000000000005</v>
      </c>
      <c r="G44" s="91">
        <f t="shared" si="6"/>
        <v>749.49</v>
      </c>
      <c r="H44" s="91">
        <f t="shared" si="3"/>
        <v>500.51000000000045</v>
      </c>
      <c r="I44" s="91">
        <f t="shared" si="7"/>
        <v>114.46449999999959</v>
      </c>
      <c r="J44" s="92">
        <f t="shared" si="4"/>
        <v>0.9100181818181826</v>
      </c>
    </row>
    <row r="45" spans="2:10" ht="13.5" thickBot="1">
      <c r="B45" s="37">
        <v>20</v>
      </c>
      <c r="C45" s="90">
        <v>0.01</v>
      </c>
      <c r="D45" s="3">
        <f t="shared" si="1"/>
        <v>1.0000000000000002</v>
      </c>
      <c r="E45" s="90">
        <f t="shared" si="5"/>
        <v>1.3000000000000005</v>
      </c>
      <c r="F45" s="91">
        <f t="shared" si="2"/>
        <v>1300.0000000000005</v>
      </c>
      <c r="G45" s="91">
        <f t="shared" si="6"/>
        <v>749.49</v>
      </c>
      <c r="H45" s="91">
        <f t="shared" si="3"/>
        <v>550.5100000000004</v>
      </c>
      <c r="I45" s="91">
        <f t="shared" si="7"/>
        <v>64.46449999999959</v>
      </c>
      <c r="J45" s="92">
        <f t="shared" si="4"/>
        <v>1.0009272727272736</v>
      </c>
    </row>
    <row r="46" spans="1:9" ht="12.75">
      <c r="A46" s="37"/>
      <c r="B46" s="2"/>
      <c r="C46" s="3"/>
      <c r="D46" s="2"/>
      <c r="E46" s="4"/>
      <c r="F46" s="15"/>
      <c r="G46" s="4"/>
      <c r="H46" s="4"/>
      <c r="I46" s="7"/>
    </row>
    <row r="47" spans="1:12" ht="26.25">
      <c r="A47" s="43" t="str">
        <f>A1</f>
        <v>Exhibit 10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26.25">
      <c r="A48" s="45" t="str">
        <f>A2</f>
        <v>CASE 10 -- Base Case with CS = Max(NS(i)), In Yield Balance</v>
      </c>
      <c r="B48" s="44"/>
      <c r="C48" s="44"/>
      <c r="D48" s="44"/>
      <c r="E48" s="44"/>
      <c r="F48" s="45"/>
      <c r="G48" s="44"/>
      <c r="H48" s="44"/>
      <c r="I48" s="44"/>
      <c r="J48" s="44"/>
      <c r="K48" s="44"/>
      <c r="L48" s="44"/>
    </row>
    <row r="49" spans="6:9" ht="13.5" thickBot="1">
      <c r="F49" s="5"/>
      <c r="I49" s="9"/>
    </row>
    <row r="50" spans="2:10" ht="20.25" thickBot="1" thickTop="1">
      <c r="B50" s="20"/>
      <c r="C50" s="21"/>
      <c r="D50" s="67"/>
      <c r="E50" s="67"/>
      <c r="F50" s="29" t="s">
        <v>23</v>
      </c>
      <c r="G50" s="67"/>
      <c r="H50" s="67"/>
      <c r="I50" s="67"/>
      <c r="J50" s="68"/>
    </row>
    <row r="51" spans="2:10" ht="13.5" thickBot="1">
      <c r="B51" s="69"/>
      <c r="C51" s="127" t="s">
        <v>67</v>
      </c>
      <c r="D51" s="128">
        <v>1</v>
      </c>
      <c r="E51" s="128">
        <v>2</v>
      </c>
      <c r="F51" s="128">
        <v>3</v>
      </c>
      <c r="G51" s="128">
        <v>4</v>
      </c>
      <c r="H51" s="128">
        <v>5</v>
      </c>
      <c r="I51" s="128">
        <v>6</v>
      </c>
      <c r="J51" s="129">
        <v>7</v>
      </c>
    </row>
    <row r="52" spans="2:11" ht="16.5" thickTop="1">
      <c r="B52" s="70" t="str">
        <f>"["&amp;TEXT(VALUE(MID(J18,2,LEN(J18)-2))+1,"#")&amp;"]"</f>
        <v>[24]</v>
      </c>
      <c r="C52" s="71" t="s">
        <v>0</v>
      </c>
      <c r="D52" s="11">
        <v>0.25</v>
      </c>
      <c r="E52" s="12">
        <v>0.25</v>
      </c>
      <c r="F52" s="12">
        <v>0.25</v>
      </c>
      <c r="G52" s="12">
        <v>0.25</v>
      </c>
      <c r="H52" s="12">
        <v>1</v>
      </c>
      <c r="I52" s="12">
        <v>2</v>
      </c>
      <c r="J52" s="75">
        <v>999.99</v>
      </c>
      <c r="K52" s="83" t="s">
        <v>41</v>
      </c>
    </row>
    <row r="53" spans="2:11" ht="16.5" thickBot="1">
      <c r="B53" s="65" t="str">
        <f>"["&amp;TEXT(VALUE(MID(B52,2,LEN(B52)-2))+1,"#")&amp;"]"</f>
        <v>[25]</v>
      </c>
      <c r="C53" s="72" t="s">
        <v>1</v>
      </c>
      <c r="D53" s="76">
        <v>0</v>
      </c>
      <c r="E53" s="73">
        <v>0.25</v>
      </c>
      <c r="F53" s="73">
        <v>0.5</v>
      </c>
      <c r="G53" s="73">
        <v>0.75</v>
      </c>
      <c r="H53" s="73">
        <v>1</v>
      </c>
      <c r="I53" s="73">
        <v>2</v>
      </c>
      <c r="J53" s="74">
        <v>4</v>
      </c>
      <c r="K53" s="86" t="s">
        <v>41</v>
      </c>
    </row>
    <row r="54" ht="13.5" thickTop="1"/>
    <row r="55" spans="2:10" s="103" customFormat="1" ht="15.75">
      <c r="B55" s="34" t="str">
        <f>B18</f>
        <v>[15]</v>
      </c>
      <c r="D55" s="34" t="str">
        <f>"["&amp;TEXT(VALUE(MID(B53,2,LEN(B53)-2))+1,"#")&amp;"]"</f>
        <v>[26]</v>
      </c>
      <c r="E55" s="34" t="str">
        <f aca="true" t="shared" si="8" ref="E55:J55">"["&amp;TEXT(VALUE(MID(D55,2,LEN(D55)-2))+1,"#")&amp;"]"</f>
        <v>[27]</v>
      </c>
      <c r="F55" s="34" t="str">
        <f t="shared" si="8"/>
        <v>[28]</v>
      </c>
      <c r="G55" s="34" t="str">
        <f t="shared" si="8"/>
        <v>[29]</v>
      </c>
      <c r="H55" s="34" t="str">
        <f t="shared" si="8"/>
        <v>[30]</v>
      </c>
      <c r="I55" s="34" t="str">
        <f t="shared" si="8"/>
        <v>[31]</v>
      </c>
      <c r="J55" s="34" t="str">
        <f t="shared" si="8"/>
        <v>[32]</v>
      </c>
    </row>
    <row r="56" ht="13.5" thickBot="1"/>
    <row r="57" spans="4:11" ht="13.5" thickTop="1">
      <c r="D57" s="10" t="s">
        <v>9</v>
      </c>
      <c r="E57" s="10" t="s">
        <v>10</v>
      </c>
      <c r="F57" s="10" t="s">
        <v>11</v>
      </c>
      <c r="G57" s="10" t="s">
        <v>12</v>
      </c>
      <c r="H57" s="10" t="s">
        <v>13</v>
      </c>
      <c r="I57" s="10" t="s">
        <v>14</v>
      </c>
      <c r="J57" s="10" t="s">
        <v>15</v>
      </c>
      <c r="K57" s="83" t="s">
        <v>44</v>
      </c>
    </row>
    <row r="58" spans="2:11" ht="12.75">
      <c r="B58" s="39" t="s">
        <v>68</v>
      </c>
      <c r="D58" s="10" t="s">
        <v>6</v>
      </c>
      <c r="E58" s="10" t="s">
        <v>6</v>
      </c>
      <c r="F58" s="10" t="s">
        <v>6</v>
      </c>
      <c r="G58" s="10" t="s">
        <v>6</v>
      </c>
      <c r="H58" s="10" t="s">
        <v>6</v>
      </c>
      <c r="I58" s="10" t="s">
        <v>6</v>
      </c>
      <c r="J58" s="10" t="s">
        <v>6</v>
      </c>
      <c r="K58" s="84" t="str">
        <f>"MAX( 0, MIN( "&amp;H18&amp;" -"</f>
        <v>MAX( 0, MIN( [21] -</v>
      </c>
    </row>
    <row r="59" spans="8:11" ht="13.5" thickBot="1">
      <c r="H59" s="6"/>
      <c r="I59" s="6"/>
      <c r="K59" s="81" t="str">
        <f>B53&amp;" * "&amp;E5&amp;", "&amp;B52&amp;" * "&amp;E5&amp;" ) )"</f>
        <v>[25] * [1], [24] * [1] ) )</v>
      </c>
    </row>
    <row r="60" spans="2:10" ht="13.5" thickTop="1">
      <c r="B60" s="30">
        <v>1</v>
      </c>
      <c r="D60" s="8">
        <f aca="true" t="shared" si="9" ref="D60:J69">MAX(0,MIN($H26-D$53*$H$5,D$52*$H$5))</f>
        <v>0</v>
      </c>
      <c r="E60" s="8">
        <f t="shared" si="9"/>
        <v>0</v>
      </c>
      <c r="F60" s="8">
        <f t="shared" si="9"/>
        <v>0</v>
      </c>
      <c r="G60" s="8">
        <f t="shared" si="9"/>
        <v>0</v>
      </c>
      <c r="H60" s="8">
        <f t="shared" si="9"/>
        <v>0</v>
      </c>
      <c r="I60" s="8">
        <f t="shared" si="9"/>
        <v>0</v>
      </c>
      <c r="J60" s="8">
        <f t="shared" si="9"/>
        <v>0</v>
      </c>
    </row>
    <row r="61" spans="2:10" ht="12.75">
      <c r="B61" s="30">
        <v>2</v>
      </c>
      <c r="D61" s="8">
        <f t="shared" si="9"/>
        <v>0</v>
      </c>
      <c r="E61" s="8">
        <f t="shared" si="9"/>
        <v>0</v>
      </c>
      <c r="F61" s="8">
        <f t="shared" si="9"/>
        <v>0</v>
      </c>
      <c r="G61" s="8">
        <f t="shared" si="9"/>
        <v>0</v>
      </c>
      <c r="H61" s="8">
        <f t="shared" si="9"/>
        <v>0</v>
      </c>
      <c r="I61" s="8">
        <f t="shared" si="9"/>
        <v>0</v>
      </c>
      <c r="J61" s="8">
        <f t="shared" si="9"/>
        <v>0</v>
      </c>
    </row>
    <row r="62" spans="2:11" ht="12.75">
      <c r="B62" s="30">
        <v>3</v>
      </c>
      <c r="D62" s="8">
        <f t="shared" si="9"/>
        <v>0</v>
      </c>
      <c r="E62" s="8">
        <f t="shared" si="9"/>
        <v>0</v>
      </c>
      <c r="F62" s="8">
        <f t="shared" si="9"/>
        <v>0</v>
      </c>
      <c r="G62" s="8">
        <f t="shared" si="9"/>
        <v>0</v>
      </c>
      <c r="H62" s="8">
        <f t="shared" si="9"/>
        <v>0</v>
      </c>
      <c r="I62" s="8">
        <f t="shared" si="9"/>
        <v>0</v>
      </c>
      <c r="J62" s="8">
        <f t="shared" si="9"/>
        <v>0</v>
      </c>
      <c r="K62" s="40"/>
    </row>
    <row r="63" spans="2:10" ht="12.75">
      <c r="B63" s="30">
        <v>4</v>
      </c>
      <c r="D63" s="8">
        <f t="shared" si="9"/>
        <v>0</v>
      </c>
      <c r="E63" s="8">
        <f t="shared" si="9"/>
        <v>0</v>
      </c>
      <c r="F63" s="8">
        <f t="shared" si="9"/>
        <v>0</v>
      </c>
      <c r="G63" s="8">
        <f t="shared" si="9"/>
        <v>0</v>
      </c>
      <c r="H63" s="8">
        <f t="shared" si="9"/>
        <v>0</v>
      </c>
      <c r="I63" s="8">
        <f t="shared" si="9"/>
        <v>0</v>
      </c>
      <c r="J63" s="8">
        <f t="shared" si="9"/>
        <v>0</v>
      </c>
    </row>
    <row r="64" spans="2:10" ht="12.75">
      <c r="B64" s="30">
        <v>5</v>
      </c>
      <c r="D64" s="8">
        <f t="shared" si="9"/>
        <v>0</v>
      </c>
      <c r="E64" s="8">
        <f t="shared" si="9"/>
        <v>0</v>
      </c>
      <c r="F64" s="8">
        <f t="shared" si="9"/>
        <v>0</v>
      </c>
      <c r="G64" s="8">
        <f t="shared" si="9"/>
        <v>0</v>
      </c>
      <c r="H64" s="8">
        <f t="shared" si="9"/>
        <v>0</v>
      </c>
      <c r="I64" s="8">
        <f t="shared" si="9"/>
        <v>0</v>
      </c>
      <c r="J64" s="8">
        <f t="shared" si="9"/>
        <v>0</v>
      </c>
    </row>
    <row r="65" spans="2:10" ht="12.75">
      <c r="B65" s="30">
        <v>6</v>
      </c>
      <c r="D65" s="8">
        <f t="shared" si="9"/>
        <v>0</v>
      </c>
      <c r="E65" s="8">
        <f t="shared" si="9"/>
        <v>0</v>
      </c>
      <c r="F65" s="8">
        <f t="shared" si="9"/>
        <v>0</v>
      </c>
      <c r="G65" s="8">
        <f t="shared" si="9"/>
        <v>0</v>
      </c>
      <c r="H65" s="8">
        <f t="shared" si="9"/>
        <v>0</v>
      </c>
      <c r="I65" s="8">
        <f t="shared" si="9"/>
        <v>0</v>
      </c>
      <c r="J65" s="8">
        <f t="shared" si="9"/>
        <v>0</v>
      </c>
    </row>
    <row r="66" spans="2:10" ht="12.75">
      <c r="B66" s="30">
        <v>7</v>
      </c>
      <c r="D66" s="8">
        <f t="shared" si="9"/>
        <v>0</v>
      </c>
      <c r="E66" s="8">
        <f t="shared" si="9"/>
        <v>0</v>
      </c>
      <c r="F66" s="8">
        <f t="shared" si="9"/>
        <v>0</v>
      </c>
      <c r="G66" s="8">
        <f t="shared" si="9"/>
        <v>0</v>
      </c>
      <c r="H66" s="8">
        <f t="shared" si="9"/>
        <v>0</v>
      </c>
      <c r="I66" s="8">
        <f t="shared" si="9"/>
        <v>0</v>
      </c>
      <c r="J66" s="8">
        <f t="shared" si="9"/>
        <v>0</v>
      </c>
    </row>
    <row r="67" spans="2:10" ht="12.75">
      <c r="B67" s="30">
        <v>8</v>
      </c>
      <c r="D67" s="8">
        <f t="shared" si="9"/>
        <v>0</v>
      </c>
      <c r="E67" s="8">
        <f t="shared" si="9"/>
        <v>0</v>
      </c>
      <c r="F67" s="8">
        <f t="shared" si="9"/>
        <v>0</v>
      </c>
      <c r="G67" s="8">
        <f t="shared" si="9"/>
        <v>0</v>
      </c>
      <c r="H67" s="8">
        <f t="shared" si="9"/>
        <v>0</v>
      </c>
      <c r="I67" s="8">
        <f t="shared" si="9"/>
        <v>0</v>
      </c>
      <c r="J67" s="8">
        <f t="shared" si="9"/>
        <v>0</v>
      </c>
    </row>
    <row r="68" spans="2:10" ht="12.75">
      <c r="B68" s="30">
        <v>9</v>
      </c>
      <c r="D68" s="8">
        <f t="shared" si="9"/>
        <v>0.5100000000001046</v>
      </c>
      <c r="E68" s="8">
        <f t="shared" si="9"/>
        <v>0</v>
      </c>
      <c r="F68" s="8">
        <f t="shared" si="9"/>
        <v>0</v>
      </c>
      <c r="G68" s="8">
        <f t="shared" si="9"/>
        <v>0</v>
      </c>
      <c r="H68" s="8">
        <f t="shared" si="9"/>
        <v>0</v>
      </c>
      <c r="I68" s="8">
        <f t="shared" si="9"/>
        <v>0</v>
      </c>
      <c r="J68" s="8">
        <f t="shared" si="9"/>
        <v>0</v>
      </c>
    </row>
    <row r="69" spans="2:10" ht="12.75">
      <c r="B69" s="30">
        <v>10</v>
      </c>
      <c r="D69" s="8">
        <f t="shared" si="9"/>
        <v>50.510000000000105</v>
      </c>
      <c r="E69" s="8">
        <f t="shared" si="9"/>
        <v>0</v>
      </c>
      <c r="F69" s="8">
        <f t="shared" si="9"/>
        <v>0</v>
      </c>
      <c r="G69" s="8">
        <f t="shared" si="9"/>
        <v>0</v>
      </c>
      <c r="H69" s="8">
        <f t="shared" si="9"/>
        <v>0</v>
      </c>
      <c r="I69" s="8">
        <f t="shared" si="9"/>
        <v>0</v>
      </c>
      <c r="J69" s="8">
        <f t="shared" si="9"/>
        <v>0</v>
      </c>
    </row>
    <row r="70" spans="2:10" ht="12.75">
      <c r="B70" s="30">
        <v>11</v>
      </c>
      <c r="D70" s="8">
        <f aca="true" t="shared" si="10" ref="D70:J79">MAX(0,MIN($H36-D$53*$H$5,D$52*$H$5))</f>
        <v>100.51000000000022</v>
      </c>
      <c r="E70" s="8">
        <f t="shared" si="10"/>
        <v>0</v>
      </c>
      <c r="F70" s="8">
        <f t="shared" si="10"/>
        <v>0</v>
      </c>
      <c r="G70" s="8">
        <f t="shared" si="10"/>
        <v>0</v>
      </c>
      <c r="H70" s="8">
        <f t="shared" si="10"/>
        <v>0</v>
      </c>
      <c r="I70" s="8">
        <f t="shared" si="10"/>
        <v>0</v>
      </c>
      <c r="J70" s="8">
        <f t="shared" si="10"/>
        <v>0</v>
      </c>
    </row>
    <row r="71" spans="2:10" ht="12.75">
      <c r="B71" s="30">
        <v>12</v>
      </c>
      <c r="D71" s="8">
        <f t="shared" si="10"/>
        <v>137.5</v>
      </c>
      <c r="E71" s="8">
        <f t="shared" si="10"/>
        <v>13.010000000000218</v>
      </c>
      <c r="F71" s="8">
        <f t="shared" si="10"/>
        <v>0</v>
      </c>
      <c r="G71" s="8">
        <f t="shared" si="10"/>
        <v>0</v>
      </c>
      <c r="H71" s="8">
        <f t="shared" si="10"/>
        <v>0</v>
      </c>
      <c r="I71" s="8">
        <f t="shared" si="10"/>
        <v>0</v>
      </c>
      <c r="J71" s="8">
        <f t="shared" si="10"/>
        <v>0</v>
      </c>
    </row>
    <row r="72" spans="2:10" ht="12.75">
      <c r="B72" s="30">
        <v>13</v>
      </c>
      <c r="D72" s="8">
        <f t="shared" si="10"/>
        <v>137.5</v>
      </c>
      <c r="E72" s="8">
        <f t="shared" si="10"/>
        <v>63.01000000000033</v>
      </c>
      <c r="F72" s="8">
        <f t="shared" si="10"/>
        <v>0</v>
      </c>
      <c r="G72" s="8">
        <f t="shared" si="10"/>
        <v>0</v>
      </c>
      <c r="H72" s="8">
        <f t="shared" si="10"/>
        <v>0</v>
      </c>
      <c r="I72" s="8">
        <f t="shared" si="10"/>
        <v>0</v>
      </c>
      <c r="J72" s="8">
        <f t="shared" si="10"/>
        <v>0</v>
      </c>
    </row>
    <row r="73" spans="2:10" ht="12.75">
      <c r="B73" s="30">
        <v>14</v>
      </c>
      <c r="D73" s="8">
        <f t="shared" si="10"/>
        <v>137.5</v>
      </c>
      <c r="E73" s="8">
        <f t="shared" si="10"/>
        <v>113.01000000000022</v>
      </c>
      <c r="F73" s="8">
        <f t="shared" si="10"/>
        <v>0</v>
      </c>
      <c r="G73" s="8">
        <f t="shared" si="10"/>
        <v>0</v>
      </c>
      <c r="H73" s="8">
        <f t="shared" si="10"/>
        <v>0</v>
      </c>
      <c r="I73" s="8">
        <f t="shared" si="10"/>
        <v>0</v>
      </c>
      <c r="J73" s="8">
        <f t="shared" si="10"/>
        <v>0</v>
      </c>
    </row>
    <row r="74" spans="2:10" ht="12.75">
      <c r="B74" s="30">
        <v>15</v>
      </c>
      <c r="D74" s="8">
        <f t="shared" si="10"/>
        <v>137.5</v>
      </c>
      <c r="E74" s="8">
        <f t="shared" si="10"/>
        <v>137.5</v>
      </c>
      <c r="F74" s="8">
        <f t="shared" si="10"/>
        <v>25.51000000000022</v>
      </c>
      <c r="G74" s="8">
        <f t="shared" si="10"/>
        <v>0</v>
      </c>
      <c r="H74" s="8">
        <f t="shared" si="10"/>
        <v>0</v>
      </c>
      <c r="I74" s="8">
        <f t="shared" si="10"/>
        <v>0</v>
      </c>
      <c r="J74" s="8">
        <f t="shared" si="10"/>
        <v>0</v>
      </c>
    </row>
    <row r="75" spans="2:10" ht="12.75">
      <c r="B75" s="30">
        <v>16</v>
      </c>
      <c r="D75" s="8">
        <f t="shared" si="10"/>
        <v>137.5</v>
      </c>
      <c r="E75" s="8">
        <f t="shared" si="10"/>
        <v>137.5</v>
      </c>
      <c r="F75" s="8">
        <f t="shared" si="10"/>
        <v>75.51000000000022</v>
      </c>
      <c r="G75" s="8">
        <f t="shared" si="10"/>
        <v>0</v>
      </c>
      <c r="H75" s="8">
        <f t="shared" si="10"/>
        <v>0</v>
      </c>
      <c r="I75" s="8">
        <f t="shared" si="10"/>
        <v>0</v>
      </c>
      <c r="J75" s="8">
        <f t="shared" si="10"/>
        <v>0</v>
      </c>
    </row>
    <row r="76" spans="2:10" ht="12.75">
      <c r="B76" s="30">
        <v>17</v>
      </c>
      <c r="D76" s="8">
        <f t="shared" si="10"/>
        <v>137.5</v>
      </c>
      <c r="E76" s="8">
        <f t="shared" si="10"/>
        <v>137.5</v>
      </c>
      <c r="F76" s="8">
        <f t="shared" si="10"/>
        <v>125.51000000000045</v>
      </c>
      <c r="G76" s="8">
        <f t="shared" si="10"/>
        <v>0</v>
      </c>
      <c r="H76" s="8">
        <f t="shared" si="10"/>
        <v>0</v>
      </c>
      <c r="I76" s="8">
        <f t="shared" si="10"/>
        <v>0</v>
      </c>
      <c r="J76" s="8">
        <f t="shared" si="10"/>
        <v>0</v>
      </c>
    </row>
    <row r="77" spans="2:10" ht="12.75">
      <c r="B77" s="30">
        <v>18</v>
      </c>
      <c r="D77" s="8">
        <f t="shared" si="10"/>
        <v>137.5</v>
      </c>
      <c r="E77" s="8">
        <f t="shared" si="10"/>
        <v>137.5</v>
      </c>
      <c r="F77" s="8">
        <f t="shared" si="10"/>
        <v>137.5</v>
      </c>
      <c r="G77" s="8">
        <f t="shared" si="10"/>
        <v>38.010000000000446</v>
      </c>
      <c r="H77" s="8">
        <f t="shared" si="10"/>
        <v>0</v>
      </c>
      <c r="I77" s="8">
        <f t="shared" si="10"/>
        <v>0</v>
      </c>
      <c r="J77" s="8">
        <f t="shared" si="10"/>
        <v>0</v>
      </c>
    </row>
    <row r="78" spans="2:10" ht="12.75">
      <c r="B78" s="30">
        <v>19</v>
      </c>
      <c r="D78" s="8">
        <f t="shared" si="10"/>
        <v>137.5</v>
      </c>
      <c r="E78" s="8">
        <f t="shared" si="10"/>
        <v>137.5</v>
      </c>
      <c r="F78" s="8">
        <f t="shared" si="10"/>
        <v>137.5</v>
      </c>
      <c r="G78" s="8">
        <f t="shared" si="10"/>
        <v>88.01000000000045</v>
      </c>
      <c r="H78" s="8">
        <f t="shared" si="10"/>
        <v>0</v>
      </c>
      <c r="I78" s="8">
        <f t="shared" si="10"/>
        <v>0</v>
      </c>
      <c r="J78" s="8">
        <f t="shared" si="10"/>
        <v>0</v>
      </c>
    </row>
    <row r="79" spans="2:10" ht="12.75">
      <c r="B79" s="37">
        <v>20</v>
      </c>
      <c r="D79" s="8">
        <f t="shared" si="10"/>
        <v>137.5</v>
      </c>
      <c r="E79" s="8">
        <f t="shared" si="10"/>
        <v>137.5</v>
      </c>
      <c r="F79" s="8">
        <f t="shared" si="10"/>
        <v>137.5</v>
      </c>
      <c r="G79" s="8">
        <f t="shared" si="10"/>
        <v>137.5</v>
      </c>
      <c r="H79" s="8">
        <f t="shared" si="10"/>
        <v>0.5100000000004457</v>
      </c>
      <c r="I79" s="8">
        <f t="shared" si="10"/>
        <v>0</v>
      </c>
      <c r="J79" s="8">
        <f t="shared" si="10"/>
        <v>0</v>
      </c>
    </row>
    <row r="80" spans="4:10" ht="12.75">
      <c r="D80" s="8"/>
      <c r="E80" s="8"/>
      <c r="F80" s="8"/>
      <c r="G80" s="8"/>
      <c r="H80" s="8"/>
      <c r="I80" s="8"/>
      <c r="J80" s="8"/>
    </row>
    <row r="81" ht="13.5" thickBot="1"/>
    <row r="82" spans="1:11" ht="16.5" thickTop="1">
      <c r="A82" s="77" t="str">
        <f>"["&amp;TEXT(VALUE(MID(J55,2,LEN(J55)-2))+1,"#")&amp;"]"</f>
        <v>[33]</v>
      </c>
      <c r="B82" s="60" t="s">
        <v>40</v>
      </c>
      <c r="C82" s="21"/>
      <c r="D82" s="93">
        <f aca="true" t="shared" si="11" ref="D82:J82">SUMPRODUCT($C26:$C45,D60:D79)</f>
        <v>35.451500000000024</v>
      </c>
      <c r="E82" s="93">
        <f t="shared" si="11"/>
        <v>20.926000000000023</v>
      </c>
      <c r="F82" s="93">
        <f t="shared" si="11"/>
        <v>10.28570000000002</v>
      </c>
      <c r="G82" s="93">
        <f t="shared" si="11"/>
        <v>3.015300000000013</v>
      </c>
      <c r="H82" s="93">
        <f t="shared" si="11"/>
        <v>0.005100000000004457</v>
      </c>
      <c r="I82" s="93">
        <f t="shared" si="11"/>
        <v>0</v>
      </c>
      <c r="J82" s="94">
        <f t="shared" si="11"/>
        <v>0</v>
      </c>
      <c r="K82" s="49" t="s">
        <v>66</v>
      </c>
    </row>
    <row r="83" spans="1:11" ht="16.5" thickBot="1">
      <c r="A83" s="61" t="str">
        <f>"["&amp;TEXT(VALUE(MID(A82,2,LEN(A82)-2))+1,"#")&amp;"]"</f>
        <v>[34]</v>
      </c>
      <c r="B83" s="62" t="s">
        <v>25</v>
      </c>
      <c r="C83" s="22"/>
      <c r="D83" s="95">
        <f aca="true" t="shared" si="12" ref="D83:J83">D$82/$H$5/D$52</f>
        <v>0.25782909090909106</v>
      </c>
      <c r="E83" s="95">
        <f t="shared" si="12"/>
        <v>0.15218909090909108</v>
      </c>
      <c r="F83" s="95">
        <f t="shared" si="12"/>
        <v>0.07480509090909106</v>
      </c>
      <c r="G83" s="95">
        <f t="shared" si="12"/>
        <v>0.02192945454545464</v>
      </c>
      <c r="H83" s="95">
        <f t="shared" si="12"/>
        <v>9.272727272735375E-06</v>
      </c>
      <c r="I83" s="95">
        <f t="shared" si="12"/>
        <v>0</v>
      </c>
      <c r="J83" s="96">
        <f t="shared" si="12"/>
        <v>0</v>
      </c>
      <c r="K83" s="50" t="str">
        <f>"="&amp;A82&amp;" / "&amp;E5&amp;" / "&amp;B52</f>
        <v>=[33] / [1] / [24]</v>
      </c>
    </row>
    <row r="84" spans="1:11" ht="15.75">
      <c r="A84" s="61" t="str">
        <f>"["&amp;TEXT(VALUE(MID(A83,2,LEN(A83)-2))+1,"#")&amp;"]"</f>
        <v>[35]</v>
      </c>
      <c r="B84" s="63" t="s">
        <v>26</v>
      </c>
      <c r="C84" s="22"/>
      <c r="D84" s="18">
        <v>0.1</v>
      </c>
      <c r="E84" s="19">
        <v>0.25</v>
      </c>
      <c r="F84" s="19">
        <v>0.5</v>
      </c>
      <c r="G84" s="19">
        <v>0.75</v>
      </c>
      <c r="H84" s="19">
        <v>1</v>
      </c>
      <c r="I84" s="19">
        <v>2</v>
      </c>
      <c r="J84" s="78">
        <v>4</v>
      </c>
      <c r="K84" s="80" t="s">
        <v>41</v>
      </c>
    </row>
    <row r="85" spans="1:11" ht="16.5" thickBot="1">
      <c r="A85" s="61" t="str">
        <f>"["&amp;TEXT(VALUE(MID(A84,2,LEN(A84)-2))+1,"#")&amp;"]"</f>
        <v>[36]</v>
      </c>
      <c r="B85" s="63" t="s">
        <v>27</v>
      </c>
      <c r="C85" s="22"/>
      <c r="D85" s="16">
        <v>0.001</v>
      </c>
      <c r="E85" s="17">
        <v>0.001</v>
      </c>
      <c r="F85" s="17">
        <v>0.001</v>
      </c>
      <c r="G85" s="17">
        <v>0.001</v>
      </c>
      <c r="H85" s="17">
        <v>0.001</v>
      </c>
      <c r="I85" s="17">
        <v>0.001</v>
      </c>
      <c r="J85" s="79">
        <v>0.001</v>
      </c>
      <c r="K85" s="80" t="s">
        <v>41</v>
      </c>
    </row>
    <row r="86" spans="1:11" ht="15.75">
      <c r="A86" s="61" t="str">
        <f>"["&amp;TEXT(VALUE(MID(A85,2,LEN(A85)-2))+1,"#")&amp;"]"</f>
        <v>[37]</v>
      </c>
      <c r="B86" s="64" t="s">
        <v>34</v>
      </c>
      <c r="C86" s="22"/>
      <c r="D86" s="95">
        <f>IF(D83&gt;0,D85+(1+D84)*D83,0)</f>
        <v>0.2846120000000002</v>
      </c>
      <c r="E86" s="95">
        <f aca="true" t="shared" si="13" ref="E86:J86">IF(E83&gt;0,E85+(1+E84)*E83,0)</f>
        <v>0.19123636363636384</v>
      </c>
      <c r="F86" s="95">
        <f t="shared" si="13"/>
        <v>0.1132076363636366</v>
      </c>
      <c r="G86" s="95">
        <f t="shared" si="13"/>
        <v>0.03937654545454562</v>
      </c>
      <c r="H86" s="95">
        <f t="shared" si="13"/>
        <v>0.0010185454545454707</v>
      </c>
      <c r="I86" s="95">
        <f t="shared" si="13"/>
        <v>0</v>
      </c>
      <c r="J86" s="96">
        <f t="shared" si="13"/>
        <v>0</v>
      </c>
      <c r="K86" s="50" t="str">
        <f>"="&amp;A83&amp;" *(1+"&amp;A84&amp;" ) + "&amp;A85</f>
        <v>=[34] *(1+[35] ) + [36]</v>
      </c>
    </row>
    <row r="87" spans="1:11" ht="16.5" thickBot="1">
      <c r="A87" s="65" t="str">
        <f>"["&amp;TEXT(VALUE(MID(A86,2,LEN(A86)-2))+1,"#")&amp;"]"</f>
        <v>[38]</v>
      </c>
      <c r="B87" s="66" t="s">
        <v>7</v>
      </c>
      <c r="C87" s="25"/>
      <c r="D87" s="97">
        <f aca="true" t="shared" si="14" ref="D87:J87">D86*D52*$H5</f>
        <v>39.13415000000003</v>
      </c>
      <c r="E87" s="97">
        <f t="shared" si="14"/>
        <v>26.29500000000003</v>
      </c>
      <c r="F87" s="97">
        <f t="shared" si="14"/>
        <v>15.56605000000003</v>
      </c>
      <c r="G87" s="97">
        <f t="shared" si="14"/>
        <v>5.414275000000023</v>
      </c>
      <c r="H87" s="97">
        <f t="shared" si="14"/>
        <v>0.5602000000000089</v>
      </c>
      <c r="I87" s="97">
        <f t="shared" si="14"/>
        <v>0</v>
      </c>
      <c r="J87" s="98">
        <f t="shared" si="14"/>
        <v>0</v>
      </c>
      <c r="K87" s="81" t="str">
        <f>"="&amp;A86&amp;" * "&amp;E5&amp;" * "&amp;B52</f>
        <v>=[37] * [1] * [24]</v>
      </c>
    </row>
    <row r="88" ht="16.5" thickTop="1">
      <c r="A88" s="33"/>
    </row>
  </sheetData>
  <printOptions horizontalCentered="1" verticalCentered="1"/>
  <pageMargins left="0.75" right="0.75" top="0.49" bottom="0.5" header="0.5" footer="0.5"/>
  <pageSetup fitToHeight="2" fitToWidth="1" horizontalDpi="300" verticalDpi="300" orientation="landscape" scale="79" r:id="rId1"/>
  <headerFooter alignWithMargins="0">
    <oddHeader>&amp;R&amp;"Arial,Bold Italic"&amp;14Page &amp;P of &amp;N</oddHeader>
  </headerFooter>
  <rowBreaks count="1" manualBreakCount="1">
    <brk id="46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12">
    <pageSetUpPr fitToPage="1"/>
  </sheetPr>
  <dimension ref="A1:L8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13.421875" style="0" customWidth="1"/>
    <col min="3" max="4" width="13.00390625" style="0" customWidth="1"/>
    <col min="5" max="5" width="13.28125" style="0" customWidth="1"/>
    <col min="6" max="6" width="15.7109375" style="0" customWidth="1"/>
    <col min="7" max="7" width="13.8515625" style="0" customWidth="1"/>
    <col min="8" max="8" width="12.140625" style="0" customWidth="1"/>
    <col min="9" max="9" width="15.421875" style="0" customWidth="1"/>
    <col min="10" max="10" width="13.7109375" style="0" customWidth="1"/>
    <col min="11" max="11" width="19.8515625" style="0" customWidth="1"/>
    <col min="12" max="12" width="14.140625" style="0" customWidth="1"/>
    <col min="13" max="16" width="11.421875" style="0" customWidth="1"/>
    <col min="17" max="17" width="11.7109375" style="0" customWidth="1"/>
  </cols>
  <sheetData>
    <row r="1" spans="1:12" ht="26.25">
      <c r="A1" s="43" t="s">
        <v>63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6.25">
      <c r="A2" s="45" t="s">
        <v>71</v>
      </c>
      <c r="B2" s="44"/>
      <c r="C2" s="44"/>
      <c r="D2" s="44"/>
      <c r="E2" s="44"/>
      <c r="F2" s="45"/>
      <c r="G2" s="44"/>
      <c r="H2" s="44"/>
      <c r="I2" s="44"/>
      <c r="J2" s="44"/>
      <c r="K2" s="44"/>
      <c r="L2" s="44"/>
    </row>
    <row r="3" spans="1:8" ht="13.5" thickBot="1">
      <c r="A3" s="1"/>
      <c r="H3" s="123"/>
    </row>
    <row r="4" spans="1:11" ht="20.25" thickBot="1" thickTop="1">
      <c r="A4" s="1"/>
      <c r="E4" s="52"/>
      <c r="F4" s="55"/>
      <c r="G4" s="55" t="s">
        <v>32</v>
      </c>
      <c r="H4" s="54"/>
      <c r="I4" s="59"/>
      <c r="J4" s="13"/>
      <c r="K4" s="22"/>
    </row>
    <row r="5" spans="1:12" ht="17.25" thickBot="1" thickTop="1">
      <c r="A5" s="1"/>
      <c r="E5" s="106" t="s">
        <v>31</v>
      </c>
      <c r="F5" s="111" t="s">
        <v>75</v>
      </c>
      <c r="G5" s="122"/>
      <c r="H5" s="116">
        <f>Case1!H5*2</f>
        <v>7200</v>
      </c>
      <c r="I5" s="83" t="s">
        <v>41</v>
      </c>
      <c r="L5" s="40"/>
    </row>
    <row r="6" spans="1:9" ht="16.5" thickBot="1">
      <c r="A6" s="1"/>
      <c r="E6" s="35" t="str">
        <f>"["&amp;TEXT(VALUE(MID(E5,2,LEN(E5)-2))+1,"#")&amp;"]"</f>
        <v>[2]</v>
      </c>
      <c r="F6" s="23" t="s">
        <v>18</v>
      </c>
      <c r="G6" s="22"/>
      <c r="H6" s="24">
        <v>0.0617</v>
      </c>
      <c r="I6" s="87" t="s">
        <v>41</v>
      </c>
    </row>
    <row r="7" spans="1:9" ht="16.5" thickBot="1">
      <c r="A7" s="1"/>
      <c r="E7" s="35" t="str">
        <f>"["&amp;TEXT(VALUE(MID(E6,2,LEN(E6)-2))+1,"#")&amp;"]"</f>
        <v>[3]</v>
      </c>
      <c r="F7" s="22" t="s">
        <v>21</v>
      </c>
      <c r="G7" s="124"/>
      <c r="H7" s="125">
        <v>1000</v>
      </c>
      <c r="I7" s="87" t="s">
        <v>41</v>
      </c>
    </row>
    <row r="8" spans="1:9" ht="16.5" thickBot="1">
      <c r="A8" s="1"/>
      <c r="E8" s="36" t="str">
        <f>"["&amp;TEXT(VALUE(MID(E7,2,LEN(E7)-2))+1,"#")&amp;"]"</f>
        <v>[4]</v>
      </c>
      <c r="F8" s="25" t="s">
        <v>64</v>
      </c>
      <c r="G8" s="26"/>
      <c r="H8" s="126">
        <v>0.05</v>
      </c>
      <c r="I8" s="86" t="s">
        <v>41</v>
      </c>
    </row>
    <row r="9" spans="1:11" ht="17.25" thickBot="1" thickTop="1">
      <c r="A9" s="1"/>
      <c r="C9" s="41"/>
      <c r="D9" s="22"/>
      <c r="E9" s="13"/>
      <c r="F9" s="13"/>
      <c r="H9" s="41"/>
      <c r="I9" s="28"/>
      <c r="J9" s="22"/>
      <c r="K9" s="32"/>
    </row>
    <row r="10" spans="1:11" ht="20.25" thickBot="1" thickTop="1">
      <c r="A10" s="1"/>
      <c r="B10" s="52"/>
      <c r="C10" s="53"/>
      <c r="D10" s="54"/>
      <c r="E10" s="21"/>
      <c r="F10" s="55"/>
      <c r="G10" s="55" t="s">
        <v>33</v>
      </c>
      <c r="H10" s="53"/>
      <c r="I10" s="56"/>
      <c r="J10" s="54"/>
      <c r="K10" s="57"/>
    </row>
    <row r="11" spans="1:11" ht="16.5" thickTop="1">
      <c r="A11" s="1"/>
      <c r="B11" s="46" t="str">
        <f>"["&amp;TEXT(VALUE(MID(E8,2,LEN(E8)-2))+1,"#")&amp;"]"</f>
        <v>[5]</v>
      </c>
      <c r="C11" s="47" t="s">
        <v>19</v>
      </c>
      <c r="D11" s="48"/>
      <c r="E11" s="99">
        <f>H6*E12</f>
        <v>43.19</v>
      </c>
      <c r="F11" s="49" t="str">
        <f>"="&amp;E6&amp;" * "&amp;B12</f>
        <v>=[2] * [6]</v>
      </c>
      <c r="G11" s="46" t="str">
        <f>"["&amp;TEXT(VALUE(MID(B15,2,LEN(B15)-2))+1,"#")&amp;"]"</f>
        <v>[10]</v>
      </c>
      <c r="H11" s="21" t="s">
        <v>39</v>
      </c>
      <c r="I11" s="21"/>
      <c r="J11" s="93">
        <f>SUMPRODUCT($C26:$C45,I26:I45)</f>
        <v>7640.349499999998</v>
      </c>
      <c r="K11" s="49" t="str">
        <f>"=E{ "&amp;I18&amp;" }"</f>
        <v>=E{ [22] }</v>
      </c>
    </row>
    <row r="12" spans="1:11" ht="15.75">
      <c r="A12" s="1"/>
      <c r="B12" s="35" t="str">
        <f>"["&amp;TEXT(VALUE(MID(B11,2,LEN(B11)-2))+1,"#")&amp;"]"</f>
        <v>[6]</v>
      </c>
      <c r="C12" s="28" t="s">
        <v>37</v>
      </c>
      <c r="D12" s="22"/>
      <c r="E12" s="14">
        <f>SUMPRODUCT($C26:$C45,F26:F45)</f>
        <v>700</v>
      </c>
      <c r="F12" s="50" t="str">
        <f>"=E{ "&amp;F18&amp;" }"</f>
        <v>=E{ [19] }</v>
      </c>
      <c r="G12" s="106" t="str">
        <f>"["&amp;TEXT(VALUE(MID(G11,2,LEN(G11)-2))+1,"#")&amp;"]"</f>
        <v>[11]</v>
      </c>
      <c r="H12" s="110" t="s">
        <v>20</v>
      </c>
      <c r="I12" s="111"/>
      <c r="J12" s="107">
        <f>J11/H5-1</f>
        <v>0.06115965277777757</v>
      </c>
      <c r="K12" s="112" t="str">
        <f>"="&amp;G11&amp;" / "&amp;E5&amp;" - 1.00"</f>
        <v>=[10] / [1] - 1.00</v>
      </c>
    </row>
    <row r="13" spans="1:11" ht="15.75">
      <c r="A13" s="1"/>
      <c r="B13" s="35" t="str">
        <f>"["&amp;TEXT(VALUE(MID(B12,2,LEN(B12)-2))+1,"#")&amp;"]"</f>
        <v>[7]</v>
      </c>
      <c r="C13" s="28" t="s">
        <v>22</v>
      </c>
      <c r="D13" s="22"/>
      <c r="E13" s="100">
        <f>E11+H5+E12</f>
        <v>7943.19</v>
      </c>
      <c r="F13" s="50" t="str">
        <f>"="&amp;E5&amp;" +"&amp;B11&amp;" +"&amp;B12</f>
        <v>=[1] +[5] +[6]</v>
      </c>
      <c r="G13" s="35" t="str">
        <f>"["&amp;TEXT(VALUE(MID(G12,2,LEN(G12)-2))+1,"#")&amp;"]"</f>
        <v>[12]</v>
      </c>
      <c r="H13" s="27" t="s">
        <v>35</v>
      </c>
      <c r="I13" s="22"/>
      <c r="J13" s="102">
        <f>SUM(D87:J87)</f>
        <v>80.94676000000008</v>
      </c>
      <c r="K13" s="50" t="str">
        <f>"=Sum{ "&amp;A87&amp;" }"</f>
        <v>=Sum{ [38] }</v>
      </c>
    </row>
    <row r="14" spans="1:11" ht="15.75">
      <c r="A14" s="1"/>
      <c r="B14" s="35" t="str">
        <f>"["&amp;TEXT(VALUE(MID(B13,2,LEN(B13)-2))+1,"#")&amp;"]"</f>
        <v>[8]</v>
      </c>
      <c r="C14" s="28" t="s">
        <v>38</v>
      </c>
      <c r="D14" s="22"/>
      <c r="E14" s="14">
        <f>SUMPRODUCT($C26:$C45,H26:H45)</f>
        <v>71.95160000000007</v>
      </c>
      <c r="F14" s="50" t="str">
        <f>"=E{ "&amp;H18&amp;" }"</f>
        <v>=E{ [21] }</v>
      </c>
      <c r="G14" s="106" t="str">
        <f>"["&amp;TEXT(VALUE(MID(G13,2,LEN(G13)-2))+1,"#")&amp;"]"</f>
        <v>[13]</v>
      </c>
      <c r="H14" s="111" t="s">
        <v>8</v>
      </c>
      <c r="I14" s="111"/>
      <c r="J14" s="107">
        <f>J13/H5+H8</f>
        <v>0.06124260555555557</v>
      </c>
      <c r="K14" s="112" t="str">
        <f>"="&amp;G13&amp;" / "&amp;E5&amp;" + "&amp;E8</f>
        <v>=[12] / [1] + [4]</v>
      </c>
    </row>
    <row r="15" spans="1:11" ht="16.5" thickBot="1">
      <c r="A15" s="1"/>
      <c r="B15" s="108" t="str">
        <f>"["&amp;TEXT(VALUE(MID(B14,2,LEN(B14)-2))+1,"#")&amp;"]"</f>
        <v>[9]</v>
      </c>
      <c r="C15" s="113" t="s">
        <v>65</v>
      </c>
      <c r="D15" s="113"/>
      <c r="E15" s="109">
        <f>E14/H5</f>
        <v>0.009993277777777787</v>
      </c>
      <c r="F15" s="114" t="str">
        <f>"="&amp;B14&amp;" / "&amp;E5</f>
        <v>=[8] / [1]</v>
      </c>
      <c r="G15" s="108" t="str">
        <f>"["&amp;TEXT(VALUE(MID(G14,2,LEN(G14)-2))+1,"#")&amp;"]"</f>
        <v>[14]</v>
      </c>
      <c r="H15" s="113" t="s">
        <v>52</v>
      </c>
      <c r="I15" s="113"/>
      <c r="J15" s="109">
        <f>J14-E15-H8</f>
        <v>0.0012493277777777811</v>
      </c>
      <c r="K15" s="114" t="str">
        <f>"="&amp;G14&amp;" - "&amp;B15&amp;" - "&amp;E8</f>
        <v>=[13] - [9] - [4]</v>
      </c>
    </row>
    <row r="16" spans="1:8" ht="16.5" thickTop="1">
      <c r="A16" s="1"/>
      <c r="H16" s="41"/>
    </row>
    <row r="17" ht="12.75">
      <c r="A17" s="1"/>
    </row>
    <row r="18" spans="2:10" ht="15.75">
      <c r="B18" s="34" t="str">
        <f>"["&amp;TEXT(VALUE(MID(G15,2,LEN(G15)-2))+1,"#")&amp;"]"</f>
        <v>[15]</v>
      </c>
      <c r="C18" s="34" t="str">
        <f aca="true" t="shared" si="0" ref="C18:J18">"["&amp;TEXT(VALUE(MID(B18,2,LEN(B18)-2))+1,"#")&amp;"]"</f>
        <v>[16]</v>
      </c>
      <c r="D18" s="34" t="str">
        <f t="shared" si="0"/>
        <v>[17]</v>
      </c>
      <c r="E18" s="34" t="str">
        <f t="shared" si="0"/>
        <v>[18]</v>
      </c>
      <c r="F18" s="34" t="str">
        <f t="shared" si="0"/>
        <v>[19]</v>
      </c>
      <c r="G18" s="34" t="str">
        <f t="shared" si="0"/>
        <v>[20]</v>
      </c>
      <c r="H18" s="34" t="str">
        <f t="shared" si="0"/>
        <v>[21]</v>
      </c>
      <c r="I18" s="34" t="str">
        <f t="shared" si="0"/>
        <v>[22]</v>
      </c>
      <c r="J18" s="34" t="str">
        <f t="shared" si="0"/>
        <v>[23]</v>
      </c>
    </row>
    <row r="19" spans="2:10" ht="12.75" customHeight="1">
      <c r="B19" s="34"/>
      <c r="C19" s="34"/>
      <c r="D19" s="34"/>
      <c r="E19" s="34"/>
      <c r="F19" s="34"/>
      <c r="G19" s="34"/>
      <c r="H19" s="34"/>
      <c r="I19" s="34"/>
      <c r="J19" s="34"/>
    </row>
    <row r="20" spans="2:10" ht="12.75">
      <c r="B20" s="31"/>
      <c r="C20" s="31"/>
      <c r="D20" s="31"/>
      <c r="E20" s="31"/>
      <c r="F20" s="31"/>
      <c r="G20" s="31" t="s">
        <v>43</v>
      </c>
      <c r="H20" s="31"/>
      <c r="I20" s="31"/>
      <c r="J20" s="30"/>
    </row>
    <row r="21" spans="2:10" ht="12.75">
      <c r="B21" s="31"/>
      <c r="C21" s="38"/>
      <c r="D21" s="31"/>
      <c r="E21" s="31"/>
      <c r="F21" s="31"/>
      <c r="G21" s="31" t="s">
        <v>28</v>
      </c>
      <c r="H21" s="31"/>
      <c r="I21" s="31"/>
      <c r="J21" s="31"/>
    </row>
    <row r="22" spans="2:10" ht="12.75">
      <c r="B22" s="39" t="s">
        <v>68</v>
      </c>
      <c r="C22" s="39" t="s">
        <v>3</v>
      </c>
      <c r="D22" s="39" t="s">
        <v>4</v>
      </c>
      <c r="E22" s="39" t="s">
        <v>24</v>
      </c>
      <c r="F22" s="39" t="s">
        <v>5</v>
      </c>
      <c r="G22" s="31" t="s">
        <v>29</v>
      </c>
      <c r="H22" s="39" t="s">
        <v>6</v>
      </c>
      <c r="I22" s="39" t="s">
        <v>16</v>
      </c>
      <c r="J22" s="39" t="s">
        <v>17</v>
      </c>
    </row>
    <row r="23" spans="3:10" ht="12.75">
      <c r="C23" s="85" t="s">
        <v>41</v>
      </c>
      <c r="D23" s="42" t="s">
        <v>36</v>
      </c>
      <c r="E23" s="85" t="s">
        <v>41</v>
      </c>
      <c r="F23" s="42" t="str">
        <f>"="&amp;E7&amp;" * "&amp;E18</f>
        <v>=[3] * [18]</v>
      </c>
      <c r="G23" s="42" t="str">
        <f>"="&amp;B11&amp;" + "&amp;B12</f>
        <v>=[5] + [6]</v>
      </c>
      <c r="H23" s="42" t="s">
        <v>42</v>
      </c>
      <c r="I23" s="42" t="str">
        <f>"="&amp;B13&amp;" * (1.00 + "&amp;E8&amp;" )"</f>
        <v>=[7] * (1.00 + [4] )</v>
      </c>
      <c r="J23" s="42" t="str">
        <f>"="&amp;H18&amp;" / "&amp;E5</f>
        <v>=[21] / [1]</v>
      </c>
    </row>
    <row r="24" spans="4:10" ht="12.75">
      <c r="D24" s="42" t="str">
        <f>"of "&amp;C18</f>
        <v>of [16]</v>
      </c>
      <c r="E24" s="82"/>
      <c r="F24" s="82"/>
      <c r="G24" s="82"/>
      <c r="H24" s="42" t="str">
        <f>F18&amp;" - "&amp;G18&amp;" )"</f>
        <v>[19] - [20] )</v>
      </c>
      <c r="I24" s="85" t="str">
        <f>"- "&amp;F18</f>
        <v>- [19]</v>
      </c>
      <c r="J24" s="82"/>
    </row>
    <row r="25" ht="13.5" thickBot="1"/>
    <row r="26" spans="2:10" ht="12.75">
      <c r="B26" s="30">
        <v>1</v>
      </c>
      <c r="C26" s="88">
        <v>0.02</v>
      </c>
      <c r="D26" s="3">
        <f aca="true" t="shared" si="1" ref="D26:D45">C26+D25</f>
        <v>0.02</v>
      </c>
      <c r="E26" s="88">
        <v>0.35</v>
      </c>
      <c r="F26" s="91">
        <f aca="true" t="shared" si="2" ref="F26:F45">E26*$H$7</f>
        <v>350</v>
      </c>
      <c r="G26" s="91">
        <f>(1+H$6)*E$12</f>
        <v>743.19</v>
      </c>
      <c r="H26" s="91">
        <f aca="true" t="shared" si="3" ref="H26:H45">MAX(F26-G26,0)</f>
        <v>0</v>
      </c>
      <c r="I26" s="91">
        <f>$E$13*(1+$H$8)-F26</f>
        <v>7990.3495</v>
      </c>
      <c r="J26" s="92">
        <f aca="true" t="shared" si="4" ref="J26:J45">H26/H$5</f>
        <v>0</v>
      </c>
    </row>
    <row r="27" spans="2:10" ht="12.75">
      <c r="B27" s="30">
        <v>2</v>
      </c>
      <c r="C27" s="89">
        <v>0.04</v>
      </c>
      <c r="D27" s="3">
        <f t="shared" si="1"/>
        <v>0.06</v>
      </c>
      <c r="E27" s="89">
        <f aca="true" t="shared" si="5" ref="E27:E45">E26+0.05</f>
        <v>0.39999999999999997</v>
      </c>
      <c r="F27" s="91">
        <f t="shared" si="2"/>
        <v>399.99999999999994</v>
      </c>
      <c r="G27" s="91">
        <f aca="true" t="shared" si="6" ref="G27:G45">G26</f>
        <v>743.19</v>
      </c>
      <c r="H27" s="91">
        <f t="shared" si="3"/>
        <v>0</v>
      </c>
      <c r="I27" s="91">
        <f aca="true" t="shared" si="7" ref="I27:I45">$E$13*(1+$H$8)-F27</f>
        <v>7940.3495</v>
      </c>
      <c r="J27" s="92">
        <f t="shared" si="4"/>
        <v>0</v>
      </c>
    </row>
    <row r="28" spans="2:10" ht="12.75">
      <c r="B28" s="30">
        <v>3</v>
      </c>
      <c r="C28" s="89">
        <v>0.06</v>
      </c>
      <c r="D28" s="3">
        <f t="shared" si="1"/>
        <v>0.12</v>
      </c>
      <c r="E28" s="89">
        <f t="shared" si="5"/>
        <v>0.44999999999999996</v>
      </c>
      <c r="F28" s="91">
        <f t="shared" si="2"/>
        <v>449.99999999999994</v>
      </c>
      <c r="G28" s="91">
        <f t="shared" si="6"/>
        <v>743.19</v>
      </c>
      <c r="H28" s="91">
        <f t="shared" si="3"/>
        <v>0</v>
      </c>
      <c r="I28" s="91">
        <f t="shared" si="7"/>
        <v>7890.3495</v>
      </c>
      <c r="J28" s="92">
        <f t="shared" si="4"/>
        <v>0</v>
      </c>
    </row>
    <row r="29" spans="2:10" ht="12.75">
      <c r="B29" s="30">
        <v>4</v>
      </c>
      <c r="C29" s="89">
        <v>0.1</v>
      </c>
      <c r="D29" s="3">
        <f t="shared" si="1"/>
        <v>0.22</v>
      </c>
      <c r="E29" s="89">
        <f t="shared" si="5"/>
        <v>0.49999999999999994</v>
      </c>
      <c r="F29" s="91">
        <f t="shared" si="2"/>
        <v>499.99999999999994</v>
      </c>
      <c r="G29" s="91">
        <f t="shared" si="6"/>
        <v>743.19</v>
      </c>
      <c r="H29" s="91">
        <f t="shared" si="3"/>
        <v>0</v>
      </c>
      <c r="I29" s="91">
        <f t="shared" si="7"/>
        <v>7840.3495</v>
      </c>
      <c r="J29" s="92">
        <f t="shared" si="4"/>
        <v>0</v>
      </c>
    </row>
    <row r="30" spans="2:10" ht="12.75">
      <c r="B30" s="30">
        <v>5</v>
      </c>
      <c r="C30" s="89">
        <v>0.11</v>
      </c>
      <c r="D30" s="3">
        <f t="shared" si="1"/>
        <v>0.33</v>
      </c>
      <c r="E30" s="89">
        <f t="shared" si="5"/>
        <v>0.5499999999999999</v>
      </c>
      <c r="F30" s="91">
        <f t="shared" si="2"/>
        <v>549.9999999999999</v>
      </c>
      <c r="G30" s="91">
        <f t="shared" si="6"/>
        <v>743.19</v>
      </c>
      <c r="H30" s="91">
        <f t="shared" si="3"/>
        <v>0</v>
      </c>
      <c r="I30" s="91">
        <f t="shared" si="7"/>
        <v>7790.3495</v>
      </c>
      <c r="J30" s="92">
        <f t="shared" si="4"/>
        <v>0</v>
      </c>
    </row>
    <row r="31" spans="2:10" ht="12.75">
      <c r="B31" s="30">
        <v>6</v>
      </c>
      <c r="C31" s="89">
        <v>0.12</v>
      </c>
      <c r="D31" s="3">
        <f t="shared" si="1"/>
        <v>0.45</v>
      </c>
      <c r="E31" s="89">
        <f t="shared" si="5"/>
        <v>0.6</v>
      </c>
      <c r="F31" s="91">
        <f t="shared" si="2"/>
        <v>600</v>
      </c>
      <c r="G31" s="91">
        <f t="shared" si="6"/>
        <v>743.19</v>
      </c>
      <c r="H31" s="91">
        <f t="shared" si="3"/>
        <v>0</v>
      </c>
      <c r="I31" s="91">
        <f t="shared" si="7"/>
        <v>7740.3495</v>
      </c>
      <c r="J31" s="92">
        <f t="shared" si="4"/>
        <v>0</v>
      </c>
    </row>
    <row r="32" spans="2:10" ht="12.75">
      <c r="B32" s="30">
        <v>7</v>
      </c>
      <c r="C32" s="89">
        <v>0.1</v>
      </c>
      <c r="D32" s="3">
        <f t="shared" si="1"/>
        <v>0.55</v>
      </c>
      <c r="E32" s="89">
        <f t="shared" si="5"/>
        <v>0.65</v>
      </c>
      <c r="F32" s="91">
        <f t="shared" si="2"/>
        <v>650</v>
      </c>
      <c r="G32" s="91">
        <f t="shared" si="6"/>
        <v>743.19</v>
      </c>
      <c r="H32" s="91">
        <f t="shared" si="3"/>
        <v>0</v>
      </c>
      <c r="I32" s="91">
        <f t="shared" si="7"/>
        <v>7690.3495</v>
      </c>
      <c r="J32" s="92">
        <f t="shared" si="4"/>
        <v>0</v>
      </c>
    </row>
    <row r="33" spans="2:10" ht="12.75">
      <c r="B33" s="30">
        <v>8</v>
      </c>
      <c r="C33" s="89">
        <v>0.09</v>
      </c>
      <c r="D33" s="3">
        <f t="shared" si="1"/>
        <v>0.64</v>
      </c>
      <c r="E33" s="89">
        <f t="shared" si="5"/>
        <v>0.7000000000000001</v>
      </c>
      <c r="F33" s="91">
        <f t="shared" si="2"/>
        <v>700.0000000000001</v>
      </c>
      <c r="G33" s="91">
        <f t="shared" si="6"/>
        <v>743.19</v>
      </c>
      <c r="H33" s="91">
        <f t="shared" si="3"/>
        <v>0</v>
      </c>
      <c r="I33" s="91">
        <f t="shared" si="7"/>
        <v>7640.3495</v>
      </c>
      <c r="J33" s="92">
        <f t="shared" si="4"/>
        <v>0</v>
      </c>
    </row>
    <row r="34" spans="2:10" ht="12.75">
      <c r="B34" s="30">
        <v>9</v>
      </c>
      <c r="C34" s="89">
        <v>0.06</v>
      </c>
      <c r="D34" s="3">
        <f t="shared" si="1"/>
        <v>0.7</v>
      </c>
      <c r="E34" s="89">
        <f t="shared" si="5"/>
        <v>0.7500000000000001</v>
      </c>
      <c r="F34" s="91">
        <f t="shared" si="2"/>
        <v>750.0000000000001</v>
      </c>
      <c r="G34" s="91">
        <f t="shared" si="6"/>
        <v>743.19</v>
      </c>
      <c r="H34" s="91">
        <f t="shared" si="3"/>
        <v>6.810000000000059</v>
      </c>
      <c r="I34" s="91">
        <f t="shared" si="7"/>
        <v>7590.3495</v>
      </c>
      <c r="J34" s="92">
        <f t="shared" si="4"/>
        <v>0.0009458333333333416</v>
      </c>
    </row>
    <row r="35" spans="2:10" ht="12.75">
      <c r="B35" s="30">
        <v>10</v>
      </c>
      <c r="C35" s="89">
        <v>0.05</v>
      </c>
      <c r="D35" s="3">
        <f t="shared" si="1"/>
        <v>0.75</v>
      </c>
      <c r="E35" s="89">
        <f t="shared" si="5"/>
        <v>0.8000000000000002</v>
      </c>
      <c r="F35" s="91">
        <f t="shared" si="2"/>
        <v>800.0000000000001</v>
      </c>
      <c r="G35" s="91">
        <f t="shared" si="6"/>
        <v>743.19</v>
      </c>
      <c r="H35" s="91">
        <f t="shared" si="3"/>
        <v>56.81000000000006</v>
      </c>
      <c r="I35" s="91">
        <f t="shared" si="7"/>
        <v>7540.3495</v>
      </c>
      <c r="J35" s="92">
        <f t="shared" si="4"/>
        <v>0.007890277777777786</v>
      </c>
    </row>
    <row r="36" spans="2:10" ht="12.75">
      <c r="B36" s="30">
        <v>11</v>
      </c>
      <c r="C36" s="89">
        <v>0.04</v>
      </c>
      <c r="D36" s="3">
        <f t="shared" si="1"/>
        <v>0.79</v>
      </c>
      <c r="E36" s="89">
        <f t="shared" si="5"/>
        <v>0.8500000000000002</v>
      </c>
      <c r="F36" s="91">
        <f t="shared" si="2"/>
        <v>850.0000000000002</v>
      </c>
      <c r="G36" s="91">
        <f t="shared" si="6"/>
        <v>743.19</v>
      </c>
      <c r="H36" s="91">
        <f t="shared" si="3"/>
        <v>106.81000000000017</v>
      </c>
      <c r="I36" s="91">
        <f t="shared" si="7"/>
        <v>7490.3495</v>
      </c>
      <c r="J36" s="92">
        <f t="shared" si="4"/>
        <v>0.014834722222222246</v>
      </c>
    </row>
    <row r="37" spans="2:10" ht="12.75">
      <c r="B37" s="30">
        <v>12</v>
      </c>
      <c r="C37" s="89">
        <v>0.04</v>
      </c>
      <c r="D37" s="3">
        <f t="shared" si="1"/>
        <v>0.8300000000000001</v>
      </c>
      <c r="E37" s="89">
        <f t="shared" si="5"/>
        <v>0.9000000000000002</v>
      </c>
      <c r="F37" s="91">
        <f t="shared" si="2"/>
        <v>900.0000000000002</v>
      </c>
      <c r="G37" s="91">
        <f t="shared" si="6"/>
        <v>743.19</v>
      </c>
      <c r="H37" s="91">
        <f t="shared" si="3"/>
        <v>156.81000000000017</v>
      </c>
      <c r="I37" s="91">
        <f t="shared" si="7"/>
        <v>7440.3495</v>
      </c>
      <c r="J37" s="92">
        <f t="shared" si="4"/>
        <v>0.02177916666666669</v>
      </c>
    </row>
    <row r="38" spans="2:10" ht="12.75">
      <c r="B38" s="30">
        <v>13</v>
      </c>
      <c r="C38" s="89">
        <v>0.03</v>
      </c>
      <c r="D38" s="3">
        <f t="shared" si="1"/>
        <v>0.8600000000000001</v>
      </c>
      <c r="E38" s="89">
        <f t="shared" si="5"/>
        <v>0.9500000000000003</v>
      </c>
      <c r="F38" s="91">
        <f t="shared" si="2"/>
        <v>950.0000000000003</v>
      </c>
      <c r="G38" s="91">
        <f t="shared" si="6"/>
        <v>743.19</v>
      </c>
      <c r="H38" s="91">
        <f t="shared" si="3"/>
        <v>206.8100000000003</v>
      </c>
      <c r="I38" s="91">
        <f t="shared" si="7"/>
        <v>7390.3495</v>
      </c>
      <c r="J38" s="92">
        <f t="shared" si="4"/>
        <v>0.02872361111111115</v>
      </c>
    </row>
    <row r="39" spans="2:10" ht="12.75">
      <c r="B39" s="30">
        <v>14</v>
      </c>
      <c r="C39" s="89">
        <v>0.03</v>
      </c>
      <c r="D39" s="3">
        <f t="shared" si="1"/>
        <v>0.8900000000000001</v>
      </c>
      <c r="E39" s="89">
        <f t="shared" si="5"/>
        <v>1.0000000000000002</v>
      </c>
      <c r="F39" s="91">
        <f t="shared" si="2"/>
        <v>1000.0000000000002</v>
      </c>
      <c r="G39" s="91">
        <f t="shared" si="6"/>
        <v>743.19</v>
      </c>
      <c r="H39" s="91">
        <f t="shared" si="3"/>
        <v>256.8100000000002</v>
      </c>
      <c r="I39" s="91">
        <f t="shared" si="7"/>
        <v>7340.3495</v>
      </c>
      <c r="J39" s="92">
        <f t="shared" si="4"/>
        <v>0.03566805555555558</v>
      </c>
    </row>
    <row r="40" spans="2:10" ht="12.75">
      <c r="B40" s="30">
        <v>15</v>
      </c>
      <c r="C40" s="89">
        <v>0.03</v>
      </c>
      <c r="D40" s="3">
        <f t="shared" si="1"/>
        <v>0.9200000000000002</v>
      </c>
      <c r="E40" s="89">
        <f t="shared" si="5"/>
        <v>1.0500000000000003</v>
      </c>
      <c r="F40" s="91">
        <f t="shared" si="2"/>
        <v>1050.0000000000002</v>
      </c>
      <c r="G40" s="91">
        <f t="shared" si="6"/>
        <v>743.19</v>
      </c>
      <c r="H40" s="91">
        <f t="shared" si="3"/>
        <v>306.8100000000002</v>
      </c>
      <c r="I40" s="91">
        <f t="shared" si="7"/>
        <v>7290.3495</v>
      </c>
      <c r="J40" s="92">
        <f t="shared" si="4"/>
        <v>0.042612500000000025</v>
      </c>
    </row>
    <row r="41" spans="2:10" ht="12.75">
      <c r="B41" s="30">
        <v>16</v>
      </c>
      <c r="C41" s="89">
        <v>0.02</v>
      </c>
      <c r="D41" s="3">
        <f t="shared" si="1"/>
        <v>0.9400000000000002</v>
      </c>
      <c r="E41" s="89">
        <f t="shared" si="5"/>
        <v>1.1000000000000003</v>
      </c>
      <c r="F41" s="91">
        <f t="shared" si="2"/>
        <v>1100.0000000000002</v>
      </c>
      <c r="G41" s="91">
        <f t="shared" si="6"/>
        <v>743.19</v>
      </c>
      <c r="H41" s="91">
        <f t="shared" si="3"/>
        <v>356.8100000000002</v>
      </c>
      <c r="I41" s="91">
        <f t="shared" si="7"/>
        <v>7240.3495</v>
      </c>
      <c r="J41" s="92">
        <f t="shared" si="4"/>
        <v>0.049556944444444466</v>
      </c>
    </row>
    <row r="42" spans="2:10" ht="12.75">
      <c r="B42" s="30">
        <v>17</v>
      </c>
      <c r="C42" s="89">
        <v>0.02</v>
      </c>
      <c r="D42" s="3">
        <f t="shared" si="1"/>
        <v>0.9600000000000002</v>
      </c>
      <c r="E42" s="89">
        <f t="shared" si="5"/>
        <v>1.1500000000000004</v>
      </c>
      <c r="F42" s="91">
        <f t="shared" si="2"/>
        <v>1150.0000000000005</v>
      </c>
      <c r="G42" s="91">
        <f t="shared" si="6"/>
        <v>743.19</v>
      </c>
      <c r="H42" s="91">
        <f t="shared" si="3"/>
        <v>406.8100000000004</v>
      </c>
      <c r="I42" s="91">
        <f t="shared" si="7"/>
        <v>7190.3495</v>
      </c>
      <c r="J42" s="92">
        <f t="shared" si="4"/>
        <v>0.05650138888888894</v>
      </c>
    </row>
    <row r="43" spans="2:10" ht="12.75">
      <c r="B43" s="30">
        <v>18</v>
      </c>
      <c r="C43" s="89">
        <v>0.02</v>
      </c>
      <c r="D43" s="3">
        <f t="shared" si="1"/>
        <v>0.9800000000000002</v>
      </c>
      <c r="E43" s="89">
        <f t="shared" si="5"/>
        <v>1.2000000000000004</v>
      </c>
      <c r="F43" s="91">
        <f t="shared" si="2"/>
        <v>1200.0000000000005</v>
      </c>
      <c r="G43" s="91">
        <f t="shared" si="6"/>
        <v>743.19</v>
      </c>
      <c r="H43" s="91">
        <f t="shared" si="3"/>
        <v>456.8100000000004</v>
      </c>
      <c r="I43" s="91">
        <f t="shared" si="7"/>
        <v>7140.3495</v>
      </c>
      <c r="J43" s="92">
        <f t="shared" si="4"/>
        <v>0.0634458333333334</v>
      </c>
    </row>
    <row r="44" spans="2:10" ht="12.75">
      <c r="B44" s="30">
        <v>19</v>
      </c>
      <c r="C44" s="89">
        <v>0.01</v>
      </c>
      <c r="D44" s="3">
        <f t="shared" si="1"/>
        <v>0.9900000000000002</v>
      </c>
      <c r="E44" s="89">
        <f t="shared" si="5"/>
        <v>1.2500000000000004</v>
      </c>
      <c r="F44" s="91">
        <f t="shared" si="2"/>
        <v>1250.0000000000005</v>
      </c>
      <c r="G44" s="91">
        <f t="shared" si="6"/>
        <v>743.19</v>
      </c>
      <c r="H44" s="91">
        <f t="shared" si="3"/>
        <v>506.8100000000004</v>
      </c>
      <c r="I44" s="91">
        <f t="shared" si="7"/>
        <v>7090.3495</v>
      </c>
      <c r="J44" s="92">
        <f t="shared" si="4"/>
        <v>0.07039027777777783</v>
      </c>
    </row>
    <row r="45" spans="2:10" ht="13.5" thickBot="1">
      <c r="B45" s="37">
        <v>20</v>
      </c>
      <c r="C45" s="90">
        <v>0.01</v>
      </c>
      <c r="D45" s="3">
        <f t="shared" si="1"/>
        <v>1.0000000000000002</v>
      </c>
      <c r="E45" s="90">
        <f t="shared" si="5"/>
        <v>1.3000000000000005</v>
      </c>
      <c r="F45" s="91">
        <f t="shared" si="2"/>
        <v>1300.0000000000005</v>
      </c>
      <c r="G45" s="91">
        <f t="shared" si="6"/>
        <v>743.19</v>
      </c>
      <c r="H45" s="91">
        <f t="shared" si="3"/>
        <v>556.8100000000004</v>
      </c>
      <c r="I45" s="91">
        <f t="shared" si="7"/>
        <v>7040.3495</v>
      </c>
      <c r="J45" s="92">
        <f t="shared" si="4"/>
        <v>0.07733472222222228</v>
      </c>
    </row>
    <row r="46" spans="1:9" ht="12.75">
      <c r="A46" s="37"/>
      <c r="B46" s="2"/>
      <c r="C46" s="3"/>
      <c r="D46" s="2"/>
      <c r="E46" s="4"/>
      <c r="F46" s="15"/>
      <c r="G46" s="4"/>
      <c r="H46" s="4"/>
      <c r="I46" s="7"/>
    </row>
    <row r="47" spans="1:12" ht="26.25">
      <c r="A47" s="43" t="str">
        <f>A1</f>
        <v>Exhibit 11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26.25">
      <c r="A48" s="45" t="str">
        <f>A2</f>
        <v>CASE 11 -- Base Case with Twice the CS</v>
      </c>
      <c r="B48" s="44"/>
      <c r="C48" s="44"/>
      <c r="D48" s="44"/>
      <c r="E48" s="44"/>
      <c r="F48" s="45"/>
      <c r="G48" s="44"/>
      <c r="H48" s="44"/>
      <c r="I48" s="44"/>
      <c r="J48" s="44"/>
      <c r="K48" s="44"/>
      <c r="L48" s="44"/>
    </row>
    <row r="49" spans="6:9" ht="13.5" thickBot="1">
      <c r="F49" s="5"/>
      <c r="I49" s="9"/>
    </row>
    <row r="50" spans="2:10" ht="20.25" thickBot="1" thickTop="1">
      <c r="B50" s="20"/>
      <c r="C50" s="21"/>
      <c r="D50" s="67"/>
      <c r="E50" s="67"/>
      <c r="F50" s="29" t="s">
        <v>23</v>
      </c>
      <c r="G50" s="67"/>
      <c r="H50" s="67"/>
      <c r="I50" s="67"/>
      <c r="J50" s="68"/>
    </row>
    <row r="51" spans="2:10" ht="13.5" thickBot="1">
      <c r="B51" s="69"/>
      <c r="C51" s="127" t="s">
        <v>67</v>
      </c>
      <c r="D51" s="128">
        <v>1</v>
      </c>
      <c r="E51" s="128">
        <v>2</v>
      </c>
      <c r="F51" s="128">
        <v>3</v>
      </c>
      <c r="G51" s="128">
        <v>4</v>
      </c>
      <c r="H51" s="128">
        <v>5</v>
      </c>
      <c r="I51" s="128">
        <v>6</v>
      </c>
      <c r="J51" s="129">
        <v>7</v>
      </c>
    </row>
    <row r="52" spans="2:11" ht="16.5" thickTop="1">
      <c r="B52" s="70" t="str">
        <f>"["&amp;TEXT(VALUE(MID(J18,2,LEN(J18)-2))+1,"#")&amp;"]"</f>
        <v>[24]</v>
      </c>
      <c r="C52" s="71" t="s">
        <v>0</v>
      </c>
      <c r="D52" s="11">
        <v>0.25</v>
      </c>
      <c r="E52" s="12">
        <v>0.25</v>
      </c>
      <c r="F52" s="12">
        <v>0.25</v>
      </c>
      <c r="G52" s="12">
        <v>0.25</v>
      </c>
      <c r="H52" s="12">
        <v>1</v>
      </c>
      <c r="I52" s="12">
        <v>2</v>
      </c>
      <c r="J52" s="75">
        <v>999.99</v>
      </c>
      <c r="K52" s="83" t="s">
        <v>41</v>
      </c>
    </row>
    <row r="53" spans="2:11" ht="16.5" thickBot="1">
      <c r="B53" s="65" t="str">
        <f>"["&amp;TEXT(VALUE(MID(B52,2,LEN(B52)-2))+1,"#")&amp;"]"</f>
        <v>[25]</v>
      </c>
      <c r="C53" s="72" t="s">
        <v>1</v>
      </c>
      <c r="D53" s="76">
        <v>0</v>
      </c>
      <c r="E53" s="73">
        <v>0.25</v>
      </c>
      <c r="F53" s="73">
        <v>0.5</v>
      </c>
      <c r="G53" s="73">
        <v>0.75</v>
      </c>
      <c r="H53" s="73">
        <v>1</v>
      </c>
      <c r="I53" s="73">
        <v>2</v>
      </c>
      <c r="J53" s="74">
        <v>4</v>
      </c>
      <c r="K53" s="86" t="s">
        <v>41</v>
      </c>
    </row>
    <row r="54" ht="13.5" thickTop="1"/>
    <row r="55" spans="2:10" s="103" customFormat="1" ht="15.75">
      <c r="B55" s="34" t="str">
        <f>B18</f>
        <v>[15]</v>
      </c>
      <c r="D55" s="34" t="str">
        <f>"["&amp;TEXT(VALUE(MID(B53,2,LEN(B53)-2))+1,"#")&amp;"]"</f>
        <v>[26]</v>
      </c>
      <c r="E55" s="34" t="str">
        <f aca="true" t="shared" si="8" ref="E55:J55">"["&amp;TEXT(VALUE(MID(D55,2,LEN(D55)-2))+1,"#")&amp;"]"</f>
        <v>[27]</v>
      </c>
      <c r="F55" s="34" t="str">
        <f t="shared" si="8"/>
        <v>[28]</v>
      </c>
      <c r="G55" s="34" t="str">
        <f t="shared" si="8"/>
        <v>[29]</v>
      </c>
      <c r="H55" s="34" t="str">
        <f t="shared" si="8"/>
        <v>[30]</v>
      </c>
      <c r="I55" s="34" t="str">
        <f t="shared" si="8"/>
        <v>[31]</v>
      </c>
      <c r="J55" s="34" t="str">
        <f t="shared" si="8"/>
        <v>[32]</v>
      </c>
    </row>
    <row r="56" ht="13.5" thickBot="1"/>
    <row r="57" spans="4:11" ht="13.5" thickTop="1">
      <c r="D57" s="10" t="s">
        <v>9</v>
      </c>
      <c r="E57" s="10" t="s">
        <v>10</v>
      </c>
      <c r="F57" s="10" t="s">
        <v>11</v>
      </c>
      <c r="G57" s="10" t="s">
        <v>12</v>
      </c>
      <c r="H57" s="10" t="s">
        <v>13</v>
      </c>
      <c r="I57" s="10" t="s">
        <v>14</v>
      </c>
      <c r="J57" s="10" t="s">
        <v>15</v>
      </c>
      <c r="K57" s="83" t="s">
        <v>44</v>
      </c>
    </row>
    <row r="58" spans="2:11" ht="12.75">
      <c r="B58" s="39" t="s">
        <v>68</v>
      </c>
      <c r="D58" s="10" t="s">
        <v>6</v>
      </c>
      <c r="E58" s="10" t="s">
        <v>6</v>
      </c>
      <c r="F58" s="10" t="s">
        <v>6</v>
      </c>
      <c r="G58" s="10" t="s">
        <v>6</v>
      </c>
      <c r="H58" s="10" t="s">
        <v>6</v>
      </c>
      <c r="I58" s="10" t="s">
        <v>6</v>
      </c>
      <c r="J58" s="10" t="s">
        <v>6</v>
      </c>
      <c r="K58" s="84" t="str">
        <f>"MAX( 0, MIN( "&amp;H18&amp;" -"</f>
        <v>MAX( 0, MIN( [21] -</v>
      </c>
    </row>
    <row r="59" spans="8:11" ht="13.5" thickBot="1">
      <c r="H59" s="6"/>
      <c r="I59" s="6"/>
      <c r="K59" s="81" t="str">
        <f>B53&amp;" * "&amp;E5&amp;", "&amp;B52&amp;" * "&amp;E5&amp;" ) )"</f>
        <v>[25] * [1], [24] * [1] ) )</v>
      </c>
    </row>
    <row r="60" spans="2:10" ht="13.5" thickTop="1">
      <c r="B60" s="30">
        <v>1</v>
      </c>
      <c r="D60" s="8">
        <f aca="true" t="shared" si="9" ref="D60:J69">MAX(0,MIN($H26-D$53*$H$5,D$52*$H$5))</f>
        <v>0</v>
      </c>
      <c r="E60" s="8">
        <f t="shared" si="9"/>
        <v>0</v>
      </c>
      <c r="F60" s="8">
        <f t="shared" si="9"/>
        <v>0</v>
      </c>
      <c r="G60" s="8">
        <f t="shared" si="9"/>
        <v>0</v>
      </c>
      <c r="H60" s="8">
        <f t="shared" si="9"/>
        <v>0</v>
      </c>
      <c r="I60" s="8">
        <f t="shared" si="9"/>
        <v>0</v>
      </c>
      <c r="J60" s="8">
        <f t="shared" si="9"/>
        <v>0</v>
      </c>
    </row>
    <row r="61" spans="2:10" ht="12.75">
      <c r="B61" s="30">
        <v>2</v>
      </c>
      <c r="D61" s="8">
        <f t="shared" si="9"/>
        <v>0</v>
      </c>
      <c r="E61" s="8">
        <f t="shared" si="9"/>
        <v>0</v>
      </c>
      <c r="F61" s="8">
        <f t="shared" si="9"/>
        <v>0</v>
      </c>
      <c r="G61" s="8">
        <f t="shared" si="9"/>
        <v>0</v>
      </c>
      <c r="H61" s="8">
        <f t="shared" si="9"/>
        <v>0</v>
      </c>
      <c r="I61" s="8">
        <f t="shared" si="9"/>
        <v>0</v>
      </c>
      <c r="J61" s="8">
        <f t="shared" si="9"/>
        <v>0</v>
      </c>
    </row>
    <row r="62" spans="2:11" ht="12.75">
      <c r="B62" s="30">
        <v>3</v>
      </c>
      <c r="D62" s="8">
        <f t="shared" si="9"/>
        <v>0</v>
      </c>
      <c r="E62" s="8">
        <f t="shared" si="9"/>
        <v>0</v>
      </c>
      <c r="F62" s="8">
        <f t="shared" si="9"/>
        <v>0</v>
      </c>
      <c r="G62" s="8">
        <f t="shared" si="9"/>
        <v>0</v>
      </c>
      <c r="H62" s="8">
        <f t="shared" si="9"/>
        <v>0</v>
      </c>
      <c r="I62" s="8">
        <f t="shared" si="9"/>
        <v>0</v>
      </c>
      <c r="J62" s="8">
        <f t="shared" si="9"/>
        <v>0</v>
      </c>
      <c r="K62" s="40"/>
    </row>
    <row r="63" spans="2:10" ht="12.75">
      <c r="B63" s="30">
        <v>4</v>
      </c>
      <c r="D63" s="8">
        <f t="shared" si="9"/>
        <v>0</v>
      </c>
      <c r="E63" s="8">
        <f t="shared" si="9"/>
        <v>0</v>
      </c>
      <c r="F63" s="8">
        <f t="shared" si="9"/>
        <v>0</v>
      </c>
      <c r="G63" s="8">
        <f t="shared" si="9"/>
        <v>0</v>
      </c>
      <c r="H63" s="8">
        <f t="shared" si="9"/>
        <v>0</v>
      </c>
      <c r="I63" s="8">
        <f t="shared" si="9"/>
        <v>0</v>
      </c>
      <c r="J63" s="8">
        <f t="shared" si="9"/>
        <v>0</v>
      </c>
    </row>
    <row r="64" spans="2:10" ht="12.75">
      <c r="B64" s="30">
        <v>5</v>
      </c>
      <c r="D64" s="8">
        <f t="shared" si="9"/>
        <v>0</v>
      </c>
      <c r="E64" s="8">
        <f t="shared" si="9"/>
        <v>0</v>
      </c>
      <c r="F64" s="8">
        <f t="shared" si="9"/>
        <v>0</v>
      </c>
      <c r="G64" s="8">
        <f t="shared" si="9"/>
        <v>0</v>
      </c>
      <c r="H64" s="8">
        <f t="shared" si="9"/>
        <v>0</v>
      </c>
      <c r="I64" s="8">
        <f t="shared" si="9"/>
        <v>0</v>
      </c>
      <c r="J64" s="8">
        <f t="shared" si="9"/>
        <v>0</v>
      </c>
    </row>
    <row r="65" spans="2:10" ht="12.75">
      <c r="B65" s="30">
        <v>6</v>
      </c>
      <c r="D65" s="8">
        <f t="shared" si="9"/>
        <v>0</v>
      </c>
      <c r="E65" s="8">
        <f t="shared" si="9"/>
        <v>0</v>
      </c>
      <c r="F65" s="8">
        <f t="shared" si="9"/>
        <v>0</v>
      </c>
      <c r="G65" s="8">
        <f t="shared" si="9"/>
        <v>0</v>
      </c>
      <c r="H65" s="8">
        <f t="shared" si="9"/>
        <v>0</v>
      </c>
      <c r="I65" s="8">
        <f t="shared" si="9"/>
        <v>0</v>
      </c>
      <c r="J65" s="8">
        <f t="shared" si="9"/>
        <v>0</v>
      </c>
    </row>
    <row r="66" spans="2:10" ht="12.75">
      <c r="B66" s="30">
        <v>7</v>
      </c>
      <c r="D66" s="8">
        <f t="shared" si="9"/>
        <v>0</v>
      </c>
      <c r="E66" s="8">
        <f t="shared" si="9"/>
        <v>0</v>
      </c>
      <c r="F66" s="8">
        <f t="shared" si="9"/>
        <v>0</v>
      </c>
      <c r="G66" s="8">
        <f t="shared" si="9"/>
        <v>0</v>
      </c>
      <c r="H66" s="8">
        <f t="shared" si="9"/>
        <v>0</v>
      </c>
      <c r="I66" s="8">
        <f t="shared" si="9"/>
        <v>0</v>
      </c>
      <c r="J66" s="8">
        <f t="shared" si="9"/>
        <v>0</v>
      </c>
    </row>
    <row r="67" spans="2:10" ht="12.75">
      <c r="B67" s="30">
        <v>8</v>
      </c>
      <c r="D67" s="8">
        <f t="shared" si="9"/>
        <v>0</v>
      </c>
      <c r="E67" s="8">
        <f t="shared" si="9"/>
        <v>0</v>
      </c>
      <c r="F67" s="8">
        <f t="shared" si="9"/>
        <v>0</v>
      </c>
      <c r="G67" s="8">
        <f t="shared" si="9"/>
        <v>0</v>
      </c>
      <c r="H67" s="8">
        <f t="shared" si="9"/>
        <v>0</v>
      </c>
      <c r="I67" s="8">
        <f t="shared" si="9"/>
        <v>0</v>
      </c>
      <c r="J67" s="8">
        <f t="shared" si="9"/>
        <v>0</v>
      </c>
    </row>
    <row r="68" spans="2:10" ht="12.75">
      <c r="B68" s="30">
        <v>9</v>
      </c>
      <c r="D68" s="8">
        <f t="shared" si="9"/>
        <v>6.810000000000059</v>
      </c>
      <c r="E68" s="8">
        <f t="shared" si="9"/>
        <v>0</v>
      </c>
      <c r="F68" s="8">
        <f t="shared" si="9"/>
        <v>0</v>
      </c>
      <c r="G68" s="8">
        <f t="shared" si="9"/>
        <v>0</v>
      </c>
      <c r="H68" s="8">
        <f t="shared" si="9"/>
        <v>0</v>
      </c>
      <c r="I68" s="8">
        <f t="shared" si="9"/>
        <v>0</v>
      </c>
      <c r="J68" s="8">
        <f t="shared" si="9"/>
        <v>0</v>
      </c>
    </row>
    <row r="69" spans="2:10" ht="12.75">
      <c r="B69" s="30">
        <v>10</v>
      </c>
      <c r="D69" s="8">
        <f t="shared" si="9"/>
        <v>56.81000000000006</v>
      </c>
      <c r="E69" s="8">
        <f t="shared" si="9"/>
        <v>0</v>
      </c>
      <c r="F69" s="8">
        <f t="shared" si="9"/>
        <v>0</v>
      </c>
      <c r="G69" s="8">
        <f t="shared" si="9"/>
        <v>0</v>
      </c>
      <c r="H69" s="8">
        <f t="shared" si="9"/>
        <v>0</v>
      </c>
      <c r="I69" s="8">
        <f t="shared" si="9"/>
        <v>0</v>
      </c>
      <c r="J69" s="8">
        <f t="shared" si="9"/>
        <v>0</v>
      </c>
    </row>
    <row r="70" spans="2:10" ht="12.75">
      <c r="B70" s="30">
        <v>11</v>
      </c>
      <c r="D70" s="8">
        <f aca="true" t="shared" si="10" ref="D70:J79">MAX(0,MIN($H36-D$53*$H$5,D$52*$H$5))</f>
        <v>106.81000000000017</v>
      </c>
      <c r="E70" s="8">
        <f t="shared" si="10"/>
        <v>0</v>
      </c>
      <c r="F70" s="8">
        <f t="shared" si="10"/>
        <v>0</v>
      </c>
      <c r="G70" s="8">
        <f t="shared" si="10"/>
        <v>0</v>
      </c>
      <c r="H70" s="8">
        <f t="shared" si="10"/>
        <v>0</v>
      </c>
      <c r="I70" s="8">
        <f t="shared" si="10"/>
        <v>0</v>
      </c>
      <c r="J70" s="8">
        <f t="shared" si="10"/>
        <v>0</v>
      </c>
    </row>
    <row r="71" spans="2:10" ht="12.75">
      <c r="B71" s="30">
        <v>12</v>
      </c>
      <c r="D71" s="8">
        <f t="shared" si="10"/>
        <v>156.81000000000017</v>
      </c>
      <c r="E71" s="8">
        <f t="shared" si="10"/>
        <v>0</v>
      </c>
      <c r="F71" s="8">
        <f t="shared" si="10"/>
        <v>0</v>
      </c>
      <c r="G71" s="8">
        <f t="shared" si="10"/>
        <v>0</v>
      </c>
      <c r="H71" s="8">
        <f t="shared" si="10"/>
        <v>0</v>
      </c>
      <c r="I71" s="8">
        <f t="shared" si="10"/>
        <v>0</v>
      </c>
      <c r="J71" s="8">
        <f t="shared" si="10"/>
        <v>0</v>
      </c>
    </row>
    <row r="72" spans="2:10" ht="12.75">
      <c r="B72" s="30">
        <v>13</v>
      </c>
      <c r="D72" s="8">
        <f t="shared" si="10"/>
        <v>206.8100000000003</v>
      </c>
      <c r="E72" s="8">
        <f t="shared" si="10"/>
        <v>0</v>
      </c>
      <c r="F72" s="8">
        <f t="shared" si="10"/>
        <v>0</v>
      </c>
      <c r="G72" s="8">
        <f t="shared" si="10"/>
        <v>0</v>
      </c>
      <c r="H72" s="8">
        <f t="shared" si="10"/>
        <v>0</v>
      </c>
      <c r="I72" s="8">
        <f t="shared" si="10"/>
        <v>0</v>
      </c>
      <c r="J72" s="8">
        <f t="shared" si="10"/>
        <v>0</v>
      </c>
    </row>
    <row r="73" spans="2:10" ht="12.75">
      <c r="B73" s="30">
        <v>14</v>
      </c>
      <c r="D73" s="8">
        <f t="shared" si="10"/>
        <v>256.8100000000002</v>
      </c>
      <c r="E73" s="8">
        <f t="shared" si="10"/>
        <v>0</v>
      </c>
      <c r="F73" s="8">
        <f t="shared" si="10"/>
        <v>0</v>
      </c>
      <c r="G73" s="8">
        <f t="shared" si="10"/>
        <v>0</v>
      </c>
      <c r="H73" s="8">
        <f t="shared" si="10"/>
        <v>0</v>
      </c>
      <c r="I73" s="8">
        <f t="shared" si="10"/>
        <v>0</v>
      </c>
      <c r="J73" s="8">
        <f t="shared" si="10"/>
        <v>0</v>
      </c>
    </row>
    <row r="74" spans="2:10" ht="12.75">
      <c r="B74" s="30">
        <v>15</v>
      </c>
      <c r="D74" s="8">
        <f t="shared" si="10"/>
        <v>306.8100000000002</v>
      </c>
      <c r="E74" s="8">
        <f t="shared" si="10"/>
        <v>0</v>
      </c>
      <c r="F74" s="8">
        <f t="shared" si="10"/>
        <v>0</v>
      </c>
      <c r="G74" s="8">
        <f t="shared" si="10"/>
        <v>0</v>
      </c>
      <c r="H74" s="8">
        <f t="shared" si="10"/>
        <v>0</v>
      </c>
      <c r="I74" s="8">
        <f t="shared" si="10"/>
        <v>0</v>
      </c>
      <c r="J74" s="8">
        <f t="shared" si="10"/>
        <v>0</v>
      </c>
    </row>
    <row r="75" spans="2:10" ht="12.75">
      <c r="B75" s="30">
        <v>16</v>
      </c>
      <c r="D75" s="8">
        <f t="shared" si="10"/>
        <v>356.8100000000002</v>
      </c>
      <c r="E75" s="8">
        <f t="shared" si="10"/>
        <v>0</v>
      </c>
      <c r="F75" s="8">
        <f t="shared" si="10"/>
        <v>0</v>
      </c>
      <c r="G75" s="8">
        <f t="shared" si="10"/>
        <v>0</v>
      </c>
      <c r="H75" s="8">
        <f t="shared" si="10"/>
        <v>0</v>
      </c>
      <c r="I75" s="8">
        <f t="shared" si="10"/>
        <v>0</v>
      </c>
      <c r="J75" s="8">
        <f t="shared" si="10"/>
        <v>0</v>
      </c>
    </row>
    <row r="76" spans="2:10" ht="12.75">
      <c r="B76" s="30">
        <v>17</v>
      </c>
      <c r="D76" s="8">
        <f t="shared" si="10"/>
        <v>406.8100000000004</v>
      </c>
      <c r="E76" s="8">
        <f t="shared" si="10"/>
        <v>0</v>
      </c>
      <c r="F76" s="8">
        <f t="shared" si="10"/>
        <v>0</v>
      </c>
      <c r="G76" s="8">
        <f t="shared" si="10"/>
        <v>0</v>
      </c>
      <c r="H76" s="8">
        <f t="shared" si="10"/>
        <v>0</v>
      </c>
      <c r="I76" s="8">
        <f t="shared" si="10"/>
        <v>0</v>
      </c>
      <c r="J76" s="8">
        <f t="shared" si="10"/>
        <v>0</v>
      </c>
    </row>
    <row r="77" spans="2:10" ht="12.75">
      <c r="B77" s="30">
        <v>18</v>
      </c>
      <c r="D77" s="8">
        <f t="shared" si="10"/>
        <v>456.8100000000004</v>
      </c>
      <c r="E77" s="8">
        <f t="shared" si="10"/>
        <v>0</v>
      </c>
      <c r="F77" s="8">
        <f t="shared" si="10"/>
        <v>0</v>
      </c>
      <c r="G77" s="8">
        <f t="shared" si="10"/>
        <v>0</v>
      </c>
      <c r="H77" s="8">
        <f t="shared" si="10"/>
        <v>0</v>
      </c>
      <c r="I77" s="8">
        <f t="shared" si="10"/>
        <v>0</v>
      </c>
      <c r="J77" s="8">
        <f t="shared" si="10"/>
        <v>0</v>
      </c>
    </row>
    <row r="78" spans="2:10" ht="12.75">
      <c r="B78" s="30">
        <v>19</v>
      </c>
      <c r="D78" s="8">
        <f t="shared" si="10"/>
        <v>506.8100000000004</v>
      </c>
      <c r="E78" s="8">
        <f t="shared" si="10"/>
        <v>0</v>
      </c>
      <c r="F78" s="8">
        <f t="shared" si="10"/>
        <v>0</v>
      </c>
      <c r="G78" s="8">
        <f t="shared" si="10"/>
        <v>0</v>
      </c>
      <c r="H78" s="8">
        <f t="shared" si="10"/>
        <v>0</v>
      </c>
      <c r="I78" s="8">
        <f t="shared" si="10"/>
        <v>0</v>
      </c>
      <c r="J78" s="8">
        <f t="shared" si="10"/>
        <v>0</v>
      </c>
    </row>
    <row r="79" spans="2:10" ht="12.75">
      <c r="B79" s="37">
        <v>20</v>
      </c>
      <c r="D79" s="8">
        <f t="shared" si="10"/>
        <v>556.8100000000004</v>
      </c>
      <c r="E79" s="8">
        <f t="shared" si="10"/>
        <v>0</v>
      </c>
      <c r="F79" s="8">
        <f t="shared" si="10"/>
        <v>0</v>
      </c>
      <c r="G79" s="8">
        <f t="shared" si="10"/>
        <v>0</v>
      </c>
      <c r="H79" s="8">
        <f t="shared" si="10"/>
        <v>0</v>
      </c>
      <c r="I79" s="8">
        <f t="shared" si="10"/>
        <v>0</v>
      </c>
      <c r="J79" s="8">
        <f t="shared" si="10"/>
        <v>0</v>
      </c>
    </row>
    <row r="80" spans="4:10" ht="12.75">
      <c r="D80" s="8"/>
      <c r="E80" s="8"/>
      <c r="F80" s="8"/>
      <c r="G80" s="8"/>
      <c r="H80" s="8"/>
      <c r="I80" s="8"/>
      <c r="J80" s="8"/>
    </row>
    <row r="81" ht="13.5" thickBot="1"/>
    <row r="82" spans="1:11" ht="16.5" thickTop="1">
      <c r="A82" s="77" t="str">
        <f>"["&amp;TEXT(VALUE(MID(J55,2,LEN(J55)-2))+1,"#")&amp;"]"</f>
        <v>[33]</v>
      </c>
      <c r="B82" s="60" t="s">
        <v>40</v>
      </c>
      <c r="C82" s="21"/>
      <c r="D82" s="93">
        <f aca="true" t="shared" si="11" ref="D82:J82">SUMPRODUCT($C26:$C45,D60:D79)</f>
        <v>71.95160000000007</v>
      </c>
      <c r="E82" s="93">
        <f t="shared" si="11"/>
        <v>0</v>
      </c>
      <c r="F82" s="93">
        <f t="shared" si="11"/>
        <v>0</v>
      </c>
      <c r="G82" s="93">
        <f t="shared" si="11"/>
        <v>0</v>
      </c>
      <c r="H82" s="93">
        <f t="shared" si="11"/>
        <v>0</v>
      </c>
      <c r="I82" s="93">
        <f t="shared" si="11"/>
        <v>0</v>
      </c>
      <c r="J82" s="94">
        <f t="shared" si="11"/>
        <v>0</v>
      </c>
      <c r="K82" s="49" t="s">
        <v>66</v>
      </c>
    </row>
    <row r="83" spans="1:11" ht="16.5" thickBot="1">
      <c r="A83" s="61" t="str">
        <f>"["&amp;TEXT(VALUE(MID(A82,2,LEN(A82)-2))+1,"#")&amp;"]"</f>
        <v>[34]</v>
      </c>
      <c r="B83" s="62" t="s">
        <v>25</v>
      </c>
      <c r="C83" s="22"/>
      <c r="D83" s="95">
        <f aca="true" t="shared" si="12" ref="D83:J83">D$82/$H$5/D$52</f>
        <v>0.03997311111111115</v>
      </c>
      <c r="E83" s="95">
        <f t="shared" si="12"/>
        <v>0</v>
      </c>
      <c r="F83" s="95">
        <f t="shared" si="12"/>
        <v>0</v>
      </c>
      <c r="G83" s="95">
        <f t="shared" si="12"/>
        <v>0</v>
      </c>
      <c r="H83" s="95">
        <f t="shared" si="12"/>
        <v>0</v>
      </c>
      <c r="I83" s="95">
        <f t="shared" si="12"/>
        <v>0</v>
      </c>
      <c r="J83" s="96">
        <f t="shared" si="12"/>
        <v>0</v>
      </c>
      <c r="K83" s="50" t="str">
        <f>"="&amp;A82&amp;" / "&amp;E5&amp;" / "&amp;B52</f>
        <v>=[33] / [1] / [24]</v>
      </c>
    </row>
    <row r="84" spans="1:11" ht="15.75">
      <c r="A84" s="61" t="str">
        <f>"["&amp;TEXT(VALUE(MID(A83,2,LEN(A83)-2))+1,"#")&amp;"]"</f>
        <v>[35]</v>
      </c>
      <c r="B84" s="63" t="s">
        <v>26</v>
      </c>
      <c r="C84" s="22"/>
      <c r="D84" s="18">
        <v>0.1</v>
      </c>
      <c r="E84" s="19">
        <v>0.25</v>
      </c>
      <c r="F84" s="19">
        <v>0.5</v>
      </c>
      <c r="G84" s="19">
        <v>0.75</v>
      </c>
      <c r="H84" s="19">
        <v>1</v>
      </c>
      <c r="I84" s="19">
        <v>2</v>
      </c>
      <c r="J84" s="78">
        <v>4</v>
      </c>
      <c r="K84" s="80" t="s">
        <v>41</v>
      </c>
    </row>
    <row r="85" spans="1:11" ht="16.5" thickBot="1">
      <c r="A85" s="61" t="str">
        <f>"["&amp;TEXT(VALUE(MID(A84,2,LEN(A84)-2))+1,"#")&amp;"]"</f>
        <v>[36]</v>
      </c>
      <c r="B85" s="63" t="s">
        <v>27</v>
      </c>
      <c r="C85" s="22"/>
      <c r="D85" s="16">
        <v>0.001</v>
      </c>
      <c r="E85" s="17">
        <v>0.001</v>
      </c>
      <c r="F85" s="17">
        <v>0.001</v>
      </c>
      <c r="G85" s="17">
        <v>0.001</v>
      </c>
      <c r="H85" s="17">
        <v>0.001</v>
      </c>
      <c r="I85" s="17">
        <v>0.001</v>
      </c>
      <c r="J85" s="79">
        <v>0.001</v>
      </c>
      <c r="K85" s="80" t="s">
        <v>41</v>
      </c>
    </row>
    <row r="86" spans="1:11" ht="15.75">
      <c r="A86" s="61" t="str">
        <f>"["&amp;TEXT(VALUE(MID(A85,2,LEN(A85)-2))+1,"#")&amp;"]"</f>
        <v>[37]</v>
      </c>
      <c r="B86" s="64" t="s">
        <v>34</v>
      </c>
      <c r="C86" s="22"/>
      <c r="D86" s="95">
        <f aca="true" t="shared" si="13" ref="D86:J86">IF(D83&gt;0,D85+(1+D84)*D83,0)</f>
        <v>0.044970422222222264</v>
      </c>
      <c r="E86" s="95">
        <f t="shared" si="13"/>
        <v>0</v>
      </c>
      <c r="F86" s="95">
        <f t="shared" si="13"/>
        <v>0</v>
      </c>
      <c r="G86" s="95">
        <f t="shared" si="13"/>
        <v>0</v>
      </c>
      <c r="H86" s="95">
        <f t="shared" si="13"/>
        <v>0</v>
      </c>
      <c r="I86" s="95">
        <f t="shared" si="13"/>
        <v>0</v>
      </c>
      <c r="J86" s="96">
        <f t="shared" si="13"/>
        <v>0</v>
      </c>
      <c r="K86" s="50" t="str">
        <f>"="&amp;A83&amp;" *(1+"&amp;A84&amp;" ) + "&amp;A85</f>
        <v>=[34] *(1+[35] ) + [36]</v>
      </c>
    </row>
    <row r="87" spans="1:11" ht="16.5" thickBot="1">
      <c r="A87" s="65" t="str">
        <f>"["&amp;TEXT(VALUE(MID(A86,2,LEN(A86)-2))+1,"#")&amp;"]"</f>
        <v>[38]</v>
      </c>
      <c r="B87" s="66" t="s">
        <v>7</v>
      </c>
      <c r="C87" s="25"/>
      <c r="D87" s="97">
        <f aca="true" t="shared" si="14" ref="D87:J87">D86*D52*$H5</f>
        <v>80.94676000000008</v>
      </c>
      <c r="E87" s="97">
        <f t="shared" si="14"/>
        <v>0</v>
      </c>
      <c r="F87" s="97">
        <f t="shared" si="14"/>
        <v>0</v>
      </c>
      <c r="G87" s="97">
        <f t="shared" si="14"/>
        <v>0</v>
      </c>
      <c r="H87" s="97">
        <f t="shared" si="14"/>
        <v>0</v>
      </c>
      <c r="I87" s="97">
        <f t="shared" si="14"/>
        <v>0</v>
      </c>
      <c r="J87" s="98">
        <f t="shared" si="14"/>
        <v>0</v>
      </c>
      <c r="K87" s="81" t="str">
        <f>"="&amp;A86&amp;" * "&amp;E5&amp;" * "&amp;B52</f>
        <v>=[37] * [1] * [24]</v>
      </c>
    </row>
    <row r="88" ht="16.5" thickTop="1">
      <c r="A88" s="33"/>
    </row>
  </sheetData>
  <printOptions horizontalCentered="1" verticalCentered="1"/>
  <pageMargins left="0.75" right="0.75" top="0.49" bottom="0.5" header="0.5" footer="0.5"/>
  <pageSetup fitToHeight="2" fitToWidth="1" horizontalDpi="300" verticalDpi="300" orientation="landscape" scale="79" r:id="rId1"/>
  <headerFooter alignWithMargins="0">
    <oddHeader>&amp;R&amp;"Arial,Bold Italic"&amp;14Page &amp;P of &amp;N</oddHeader>
  </headerFooter>
  <rowBreaks count="1" manualBreakCount="1">
    <brk id="46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121">
    <pageSetUpPr fitToPage="1"/>
  </sheetPr>
  <dimension ref="A1:L8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13.421875" style="0" customWidth="1"/>
    <col min="3" max="4" width="13.00390625" style="0" customWidth="1"/>
    <col min="5" max="5" width="13.28125" style="0" customWidth="1"/>
    <col min="6" max="6" width="15.7109375" style="0" customWidth="1"/>
    <col min="7" max="7" width="13.8515625" style="0" customWidth="1"/>
    <col min="8" max="8" width="12.140625" style="0" customWidth="1"/>
    <col min="9" max="9" width="15.421875" style="0" customWidth="1"/>
    <col min="10" max="10" width="13.7109375" style="0" customWidth="1"/>
    <col min="11" max="11" width="19.8515625" style="0" customWidth="1"/>
    <col min="12" max="12" width="14.140625" style="0" customWidth="1"/>
    <col min="13" max="16" width="11.421875" style="0" customWidth="1"/>
    <col min="17" max="17" width="11.7109375" style="0" customWidth="1"/>
  </cols>
  <sheetData>
    <row r="1" spans="1:12" ht="26.25">
      <c r="A1" s="43" t="s">
        <v>72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6.25">
      <c r="A2" s="45" t="s">
        <v>73</v>
      </c>
      <c r="B2" s="44"/>
      <c r="C2" s="44"/>
      <c r="D2" s="44"/>
      <c r="E2" s="44"/>
      <c r="F2" s="45"/>
      <c r="G2" s="44"/>
      <c r="H2" s="44"/>
      <c r="I2" s="44"/>
      <c r="J2" s="44"/>
      <c r="K2" s="44"/>
      <c r="L2" s="44"/>
    </row>
    <row r="3" spans="1:8" ht="13.5" thickBot="1">
      <c r="A3" s="1"/>
      <c r="H3" s="123"/>
    </row>
    <row r="4" spans="1:11" ht="20.25" thickBot="1" thickTop="1">
      <c r="A4" s="1"/>
      <c r="E4" s="52"/>
      <c r="F4" s="55"/>
      <c r="G4" s="55" t="s">
        <v>32</v>
      </c>
      <c r="H4" s="54"/>
      <c r="I4" s="59"/>
      <c r="J4" s="13"/>
      <c r="K4" s="22"/>
    </row>
    <row r="5" spans="1:12" ht="17.25" thickBot="1" thickTop="1">
      <c r="A5" s="1"/>
      <c r="E5" s="106" t="s">
        <v>31</v>
      </c>
      <c r="F5" s="111" t="s">
        <v>75</v>
      </c>
      <c r="G5" s="122"/>
      <c r="H5" s="116">
        <f>Case1!H5/2</f>
        <v>1800</v>
      </c>
      <c r="I5" s="83" t="s">
        <v>41</v>
      </c>
      <c r="L5" s="40"/>
    </row>
    <row r="6" spans="1:9" ht="16.5" thickBot="1">
      <c r="A6" s="1"/>
      <c r="E6" s="35" t="str">
        <f>"["&amp;TEXT(VALUE(MID(E5,2,LEN(E5)-2))+1,"#")&amp;"]"</f>
        <v>[2]</v>
      </c>
      <c r="F6" s="23" t="s">
        <v>18</v>
      </c>
      <c r="G6" s="22"/>
      <c r="H6" s="24">
        <v>0.0615</v>
      </c>
      <c r="I6" s="87" t="s">
        <v>41</v>
      </c>
    </row>
    <row r="7" spans="1:9" ht="16.5" thickBot="1">
      <c r="A7" s="1"/>
      <c r="E7" s="35" t="str">
        <f>"["&amp;TEXT(VALUE(MID(E6,2,LEN(E6)-2))+1,"#")&amp;"]"</f>
        <v>[3]</v>
      </c>
      <c r="F7" s="22" t="s">
        <v>21</v>
      </c>
      <c r="G7" s="124"/>
      <c r="H7" s="125">
        <v>1000</v>
      </c>
      <c r="I7" s="87" t="s">
        <v>41</v>
      </c>
    </row>
    <row r="8" spans="1:9" ht="16.5" thickBot="1">
      <c r="A8" s="1"/>
      <c r="E8" s="36" t="str">
        <f>"["&amp;TEXT(VALUE(MID(E7,2,LEN(E7)-2))+1,"#")&amp;"]"</f>
        <v>[4]</v>
      </c>
      <c r="F8" s="25" t="s">
        <v>64</v>
      </c>
      <c r="G8" s="26"/>
      <c r="H8" s="126">
        <v>0.05</v>
      </c>
      <c r="I8" s="86" t="s">
        <v>41</v>
      </c>
    </row>
    <row r="9" spans="1:11" ht="17.25" thickBot="1" thickTop="1">
      <c r="A9" s="1"/>
      <c r="C9" s="41"/>
      <c r="D9" s="22"/>
      <c r="E9" s="13"/>
      <c r="F9" s="13"/>
      <c r="H9" s="41"/>
      <c r="I9" s="28"/>
      <c r="J9" s="22"/>
      <c r="K9" s="32"/>
    </row>
    <row r="10" spans="1:11" ht="20.25" thickBot="1" thickTop="1">
      <c r="A10" s="1"/>
      <c r="B10" s="52"/>
      <c r="C10" s="53"/>
      <c r="D10" s="54"/>
      <c r="E10" s="21"/>
      <c r="F10" s="55"/>
      <c r="G10" s="55" t="s">
        <v>33</v>
      </c>
      <c r="H10" s="53"/>
      <c r="I10" s="56"/>
      <c r="J10" s="54"/>
      <c r="K10" s="57"/>
    </row>
    <row r="11" spans="1:11" ht="16.5" thickTop="1">
      <c r="A11" s="1"/>
      <c r="B11" s="46" t="str">
        <f>"["&amp;TEXT(VALUE(MID(E8,2,LEN(E8)-2))+1,"#")&amp;"]"</f>
        <v>[5]</v>
      </c>
      <c r="C11" s="47" t="s">
        <v>19</v>
      </c>
      <c r="D11" s="48"/>
      <c r="E11" s="99">
        <f>H6*E12</f>
        <v>43.05</v>
      </c>
      <c r="F11" s="49" t="str">
        <f>"="&amp;E6&amp;" * "&amp;B12</f>
        <v>=[2] * [6]</v>
      </c>
      <c r="G11" s="46" t="str">
        <f>"["&amp;TEXT(VALUE(MID(B15,2,LEN(B15)-2))+1,"#")&amp;"]"</f>
        <v>[10]</v>
      </c>
      <c r="H11" s="21" t="s">
        <v>39</v>
      </c>
      <c r="I11" s="21"/>
      <c r="J11" s="93">
        <f>SUMPRODUCT($C26:$C45,I26:I45)</f>
        <v>1970.2025</v>
      </c>
      <c r="K11" s="49" t="str">
        <f>"=E{ "&amp;I18&amp;" }"</f>
        <v>=E{ [22] }</v>
      </c>
    </row>
    <row r="12" spans="1:11" ht="15.75">
      <c r="A12" s="1"/>
      <c r="B12" s="35" t="str">
        <f>"["&amp;TEXT(VALUE(MID(B11,2,LEN(B11)-2))+1,"#")&amp;"]"</f>
        <v>[6]</v>
      </c>
      <c r="C12" s="28" t="s">
        <v>37</v>
      </c>
      <c r="D12" s="22"/>
      <c r="E12" s="14">
        <f>SUMPRODUCT($C26:$C45,F26:F45)</f>
        <v>700</v>
      </c>
      <c r="F12" s="50" t="str">
        <f>"=E{ "&amp;F18&amp;" }"</f>
        <v>=E{ [19] }</v>
      </c>
      <c r="G12" s="106" t="str">
        <f>"["&amp;TEXT(VALUE(MID(G11,2,LEN(G11)-2))+1,"#")&amp;"]"</f>
        <v>[11]</v>
      </c>
      <c r="H12" s="110" t="s">
        <v>20</v>
      </c>
      <c r="I12" s="111"/>
      <c r="J12" s="107">
        <f>J11/H5-1</f>
        <v>0.09455694444444451</v>
      </c>
      <c r="K12" s="112" t="str">
        <f>"="&amp;G11&amp;" / "&amp;E5&amp;" - 1.00"</f>
        <v>=[10] / [1] - 1.00</v>
      </c>
    </row>
    <row r="13" spans="1:11" ht="15.75">
      <c r="A13" s="1"/>
      <c r="B13" s="35" t="str">
        <f>"["&amp;TEXT(VALUE(MID(B12,2,LEN(B12)-2))+1,"#")&amp;"]"</f>
        <v>[7]</v>
      </c>
      <c r="C13" s="28" t="s">
        <v>22</v>
      </c>
      <c r="D13" s="22"/>
      <c r="E13" s="100">
        <f>E11+H5+E12</f>
        <v>2543.05</v>
      </c>
      <c r="F13" s="50" t="str">
        <f>"="&amp;E5&amp;" +"&amp;B11&amp;" +"&amp;B12</f>
        <v>=[1] +[5] +[6]</v>
      </c>
      <c r="G13" s="35" t="str">
        <f>"["&amp;TEXT(VALUE(MID(G12,2,LEN(G12)-2))+1,"#")&amp;"]"</f>
        <v>[12]</v>
      </c>
      <c r="H13" s="27" t="s">
        <v>35</v>
      </c>
      <c r="I13" s="22"/>
      <c r="J13" s="102">
        <f>SUM(D87:J87)</f>
        <v>80.36890000000007</v>
      </c>
      <c r="K13" s="50" t="str">
        <f>"=Sum{ "&amp;A87&amp;" }"</f>
        <v>=Sum{ [38] }</v>
      </c>
    </row>
    <row r="14" spans="1:11" ht="15.75">
      <c r="A14" s="1"/>
      <c r="B14" s="35" t="str">
        <f>"["&amp;TEXT(VALUE(MID(B13,2,LEN(B13)-2))+1,"#")&amp;"]"</f>
        <v>[8]</v>
      </c>
      <c r="C14" s="28" t="s">
        <v>38</v>
      </c>
      <c r="D14" s="22"/>
      <c r="E14" s="14">
        <f>SUMPRODUCT($C26:$C45,H26:H45)</f>
        <v>72.00200000000007</v>
      </c>
      <c r="F14" s="50" t="str">
        <f>"=E{ "&amp;H18&amp;" }"</f>
        <v>=E{ [21] }</v>
      </c>
      <c r="G14" s="106" t="str">
        <f>"["&amp;TEXT(VALUE(MID(G13,2,LEN(G13)-2))+1,"#")&amp;"]"</f>
        <v>[13]</v>
      </c>
      <c r="H14" s="111" t="s">
        <v>8</v>
      </c>
      <c r="I14" s="111"/>
      <c r="J14" s="107">
        <f>J13/H5+H8</f>
        <v>0.09464938888888894</v>
      </c>
      <c r="K14" s="112" t="str">
        <f>"="&amp;G13&amp;" / "&amp;E5&amp;" + "&amp;E8</f>
        <v>=[12] / [1] + [4]</v>
      </c>
    </row>
    <row r="15" spans="1:11" ht="16.5" thickBot="1">
      <c r="A15" s="1"/>
      <c r="B15" s="108" t="str">
        <f>"["&amp;TEXT(VALUE(MID(B14,2,LEN(B14)-2))+1,"#")&amp;"]"</f>
        <v>[9]</v>
      </c>
      <c r="C15" s="113" t="s">
        <v>65</v>
      </c>
      <c r="D15" s="113"/>
      <c r="E15" s="109">
        <f>E14/H5</f>
        <v>0.04000111111111115</v>
      </c>
      <c r="F15" s="114" t="str">
        <f>"="&amp;B14&amp;" / "&amp;E5</f>
        <v>=[8] / [1]</v>
      </c>
      <c r="G15" s="108" t="str">
        <f>"["&amp;TEXT(VALUE(MID(G14,2,LEN(G14)-2))+1,"#")&amp;"]"</f>
        <v>[14]</v>
      </c>
      <c r="H15" s="113" t="s">
        <v>52</v>
      </c>
      <c r="I15" s="113"/>
      <c r="J15" s="109">
        <f>J14-E15-H8</f>
        <v>0.004648277777777786</v>
      </c>
      <c r="K15" s="114" t="str">
        <f>"="&amp;G14&amp;" - "&amp;B15&amp;" - "&amp;E8</f>
        <v>=[13] - [9] - [4]</v>
      </c>
    </row>
    <row r="16" spans="1:8" ht="16.5" thickTop="1">
      <c r="A16" s="1"/>
      <c r="H16" s="41"/>
    </row>
    <row r="17" ht="12.75">
      <c r="A17" s="1"/>
    </row>
    <row r="18" spans="2:10" ht="15.75">
      <c r="B18" s="34" t="str">
        <f>"["&amp;TEXT(VALUE(MID(G15,2,LEN(G15)-2))+1,"#")&amp;"]"</f>
        <v>[15]</v>
      </c>
      <c r="C18" s="34" t="str">
        <f aca="true" t="shared" si="0" ref="C18:J18">"["&amp;TEXT(VALUE(MID(B18,2,LEN(B18)-2))+1,"#")&amp;"]"</f>
        <v>[16]</v>
      </c>
      <c r="D18" s="34" t="str">
        <f t="shared" si="0"/>
        <v>[17]</v>
      </c>
      <c r="E18" s="34" t="str">
        <f t="shared" si="0"/>
        <v>[18]</v>
      </c>
      <c r="F18" s="34" t="str">
        <f t="shared" si="0"/>
        <v>[19]</v>
      </c>
      <c r="G18" s="34" t="str">
        <f t="shared" si="0"/>
        <v>[20]</v>
      </c>
      <c r="H18" s="34" t="str">
        <f t="shared" si="0"/>
        <v>[21]</v>
      </c>
      <c r="I18" s="34" t="str">
        <f t="shared" si="0"/>
        <v>[22]</v>
      </c>
      <c r="J18" s="34" t="str">
        <f t="shared" si="0"/>
        <v>[23]</v>
      </c>
    </row>
    <row r="19" spans="2:10" ht="12.75" customHeight="1">
      <c r="B19" s="34"/>
      <c r="C19" s="34"/>
      <c r="D19" s="34"/>
      <c r="E19" s="34"/>
      <c r="F19" s="34"/>
      <c r="G19" s="34"/>
      <c r="H19" s="34"/>
      <c r="I19" s="34"/>
      <c r="J19" s="34"/>
    </row>
    <row r="20" spans="2:10" ht="12.75">
      <c r="B20" s="31"/>
      <c r="C20" s="31"/>
      <c r="D20" s="31"/>
      <c r="E20" s="31"/>
      <c r="F20" s="31"/>
      <c r="G20" s="31" t="s">
        <v>43</v>
      </c>
      <c r="H20" s="31"/>
      <c r="I20" s="31"/>
      <c r="J20" s="30"/>
    </row>
    <row r="21" spans="2:10" ht="12.75">
      <c r="B21" s="31"/>
      <c r="C21" s="38"/>
      <c r="D21" s="31"/>
      <c r="E21" s="31"/>
      <c r="F21" s="31"/>
      <c r="G21" s="31" t="s">
        <v>28</v>
      </c>
      <c r="H21" s="31"/>
      <c r="I21" s="31"/>
      <c r="J21" s="31"/>
    </row>
    <row r="22" spans="2:10" ht="12.75">
      <c r="B22" s="39" t="s">
        <v>68</v>
      </c>
      <c r="C22" s="39" t="s">
        <v>3</v>
      </c>
      <c r="D22" s="39" t="s">
        <v>4</v>
      </c>
      <c r="E22" s="39" t="s">
        <v>24</v>
      </c>
      <c r="F22" s="39" t="s">
        <v>5</v>
      </c>
      <c r="G22" s="31" t="s">
        <v>29</v>
      </c>
      <c r="H22" s="39" t="s">
        <v>6</v>
      </c>
      <c r="I22" s="39" t="s">
        <v>16</v>
      </c>
      <c r="J22" s="39" t="s">
        <v>17</v>
      </c>
    </row>
    <row r="23" spans="3:10" ht="12.75">
      <c r="C23" s="85" t="s">
        <v>41</v>
      </c>
      <c r="D23" s="42" t="s">
        <v>36</v>
      </c>
      <c r="E23" s="85" t="s">
        <v>41</v>
      </c>
      <c r="F23" s="42" t="str">
        <f>"="&amp;E7&amp;" * "&amp;E18</f>
        <v>=[3] * [18]</v>
      </c>
      <c r="G23" s="42" t="str">
        <f>"="&amp;B11&amp;" + "&amp;B12</f>
        <v>=[5] + [6]</v>
      </c>
      <c r="H23" s="42" t="s">
        <v>42</v>
      </c>
      <c r="I23" s="42" t="str">
        <f>"="&amp;B13&amp;" * (1.00 + "&amp;E8&amp;" )"</f>
        <v>=[7] * (1.00 + [4] )</v>
      </c>
      <c r="J23" s="42" t="str">
        <f>"="&amp;H18&amp;" / "&amp;E5</f>
        <v>=[21] / [1]</v>
      </c>
    </row>
    <row r="24" spans="4:10" ht="12.75">
      <c r="D24" s="42" t="str">
        <f>"of "&amp;C18</f>
        <v>of [16]</v>
      </c>
      <c r="E24" s="82"/>
      <c r="F24" s="82"/>
      <c r="G24" s="82"/>
      <c r="H24" s="42" t="str">
        <f>F18&amp;" - "&amp;G18&amp;" )"</f>
        <v>[19] - [20] )</v>
      </c>
      <c r="I24" s="85" t="str">
        <f>"- "&amp;F18</f>
        <v>- [19]</v>
      </c>
      <c r="J24" s="82"/>
    </row>
    <row r="25" ht="13.5" thickBot="1"/>
    <row r="26" spans="2:10" ht="12.75">
      <c r="B26" s="30">
        <v>1</v>
      </c>
      <c r="C26" s="88">
        <v>0.02</v>
      </c>
      <c r="D26" s="3">
        <f aca="true" t="shared" si="1" ref="D26:D45">C26+D25</f>
        <v>0.02</v>
      </c>
      <c r="E26" s="88">
        <v>0.35</v>
      </c>
      <c r="F26" s="91">
        <f aca="true" t="shared" si="2" ref="F26:F45">E26*$H$7</f>
        <v>350</v>
      </c>
      <c r="G26" s="91">
        <f>(1+H$6)*E$12</f>
        <v>743.0500000000001</v>
      </c>
      <c r="H26" s="91">
        <f aca="true" t="shared" si="3" ref="H26:H45">MAX(F26-G26,0)</f>
        <v>0</v>
      </c>
      <c r="I26" s="91">
        <f>$E$13*(1+$H$8)-F26</f>
        <v>2320.2025000000003</v>
      </c>
      <c r="J26" s="92">
        <f aca="true" t="shared" si="4" ref="J26:J45">H26/H$5</f>
        <v>0</v>
      </c>
    </row>
    <row r="27" spans="2:10" ht="12.75">
      <c r="B27" s="30">
        <v>2</v>
      </c>
      <c r="C27" s="89">
        <v>0.04</v>
      </c>
      <c r="D27" s="3">
        <f t="shared" si="1"/>
        <v>0.06</v>
      </c>
      <c r="E27" s="89">
        <f aca="true" t="shared" si="5" ref="E27:E45">E26+0.05</f>
        <v>0.39999999999999997</v>
      </c>
      <c r="F27" s="91">
        <f t="shared" si="2"/>
        <v>399.99999999999994</v>
      </c>
      <c r="G27" s="91">
        <f aca="true" t="shared" si="6" ref="G27:G45">G26</f>
        <v>743.0500000000001</v>
      </c>
      <c r="H27" s="91">
        <f t="shared" si="3"/>
        <v>0</v>
      </c>
      <c r="I27" s="91">
        <f aca="true" t="shared" si="7" ref="I27:I45">$E$13*(1+$H$8)-F27</f>
        <v>2270.2025000000003</v>
      </c>
      <c r="J27" s="92">
        <f t="shared" si="4"/>
        <v>0</v>
      </c>
    </row>
    <row r="28" spans="2:10" ht="12.75">
      <c r="B28" s="30">
        <v>3</v>
      </c>
      <c r="C28" s="89">
        <v>0.06</v>
      </c>
      <c r="D28" s="3">
        <f t="shared" si="1"/>
        <v>0.12</v>
      </c>
      <c r="E28" s="89">
        <f t="shared" si="5"/>
        <v>0.44999999999999996</v>
      </c>
      <c r="F28" s="91">
        <f t="shared" si="2"/>
        <v>449.99999999999994</v>
      </c>
      <c r="G28" s="91">
        <f t="shared" si="6"/>
        <v>743.0500000000001</v>
      </c>
      <c r="H28" s="91">
        <f t="shared" si="3"/>
        <v>0</v>
      </c>
      <c r="I28" s="91">
        <f t="shared" si="7"/>
        <v>2220.2025000000003</v>
      </c>
      <c r="J28" s="92">
        <f t="shared" si="4"/>
        <v>0</v>
      </c>
    </row>
    <row r="29" spans="2:10" ht="12.75">
      <c r="B29" s="30">
        <v>4</v>
      </c>
      <c r="C29" s="89">
        <v>0.1</v>
      </c>
      <c r="D29" s="3">
        <f t="shared" si="1"/>
        <v>0.22</v>
      </c>
      <c r="E29" s="89">
        <f t="shared" si="5"/>
        <v>0.49999999999999994</v>
      </c>
      <c r="F29" s="91">
        <f t="shared" si="2"/>
        <v>499.99999999999994</v>
      </c>
      <c r="G29" s="91">
        <f t="shared" si="6"/>
        <v>743.0500000000001</v>
      </c>
      <c r="H29" s="91">
        <f t="shared" si="3"/>
        <v>0</v>
      </c>
      <c r="I29" s="91">
        <f t="shared" si="7"/>
        <v>2170.2025000000003</v>
      </c>
      <c r="J29" s="92">
        <f t="shared" si="4"/>
        <v>0</v>
      </c>
    </row>
    <row r="30" spans="2:10" ht="12.75">
      <c r="B30" s="30">
        <v>5</v>
      </c>
      <c r="C30" s="89">
        <v>0.11</v>
      </c>
      <c r="D30" s="3">
        <f t="shared" si="1"/>
        <v>0.33</v>
      </c>
      <c r="E30" s="89">
        <f t="shared" si="5"/>
        <v>0.5499999999999999</v>
      </c>
      <c r="F30" s="91">
        <f t="shared" si="2"/>
        <v>549.9999999999999</v>
      </c>
      <c r="G30" s="91">
        <f t="shared" si="6"/>
        <v>743.0500000000001</v>
      </c>
      <c r="H30" s="91">
        <f t="shared" si="3"/>
        <v>0</v>
      </c>
      <c r="I30" s="91">
        <f t="shared" si="7"/>
        <v>2120.2025000000003</v>
      </c>
      <c r="J30" s="92">
        <f t="shared" si="4"/>
        <v>0</v>
      </c>
    </row>
    <row r="31" spans="2:10" ht="12.75">
      <c r="B31" s="30">
        <v>6</v>
      </c>
      <c r="C31" s="89">
        <v>0.12</v>
      </c>
      <c r="D31" s="3">
        <f t="shared" si="1"/>
        <v>0.45</v>
      </c>
      <c r="E31" s="89">
        <f t="shared" si="5"/>
        <v>0.6</v>
      </c>
      <c r="F31" s="91">
        <f t="shared" si="2"/>
        <v>600</v>
      </c>
      <c r="G31" s="91">
        <f t="shared" si="6"/>
        <v>743.0500000000001</v>
      </c>
      <c r="H31" s="91">
        <f t="shared" si="3"/>
        <v>0</v>
      </c>
      <c r="I31" s="91">
        <f t="shared" si="7"/>
        <v>2070.2025000000003</v>
      </c>
      <c r="J31" s="92">
        <f t="shared" si="4"/>
        <v>0</v>
      </c>
    </row>
    <row r="32" spans="2:10" ht="12.75">
      <c r="B32" s="30">
        <v>7</v>
      </c>
      <c r="C32" s="89">
        <v>0.1</v>
      </c>
      <c r="D32" s="3">
        <f t="shared" si="1"/>
        <v>0.55</v>
      </c>
      <c r="E32" s="89">
        <f t="shared" si="5"/>
        <v>0.65</v>
      </c>
      <c r="F32" s="91">
        <f t="shared" si="2"/>
        <v>650</v>
      </c>
      <c r="G32" s="91">
        <f t="shared" si="6"/>
        <v>743.0500000000001</v>
      </c>
      <c r="H32" s="91">
        <f t="shared" si="3"/>
        <v>0</v>
      </c>
      <c r="I32" s="91">
        <f t="shared" si="7"/>
        <v>2020.2025000000003</v>
      </c>
      <c r="J32" s="92">
        <f t="shared" si="4"/>
        <v>0</v>
      </c>
    </row>
    <row r="33" spans="2:10" ht="12.75">
      <c r="B33" s="30">
        <v>8</v>
      </c>
      <c r="C33" s="89">
        <v>0.09</v>
      </c>
      <c r="D33" s="3">
        <f t="shared" si="1"/>
        <v>0.64</v>
      </c>
      <c r="E33" s="89">
        <f t="shared" si="5"/>
        <v>0.7000000000000001</v>
      </c>
      <c r="F33" s="91">
        <f t="shared" si="2"/>
        <v>700.0000000000001</v>
      </c>
      <c r="G33" s="91">
        <f t="shared" si="6"/>
        <v>743.0500000000001</v>
      </c>
      <c r="H33" s="91">
        <f t="shared" si="3"/>
        <v>0</v>
      </c>
      <c r="I33" s="91">
        <f t="shared" si="7"/>
        <v>1970.2025000000003</v>
      </c>
      <c r="J33" s="92">
        <f t="shared" si="4"/>
        <v>0</v>
      </c>
    </row>
    <row r="34" spans="2:10" ht="12.75">
      <c r="B34" s="30">
        <v>9</v>
      </c>
      <c r="C34" s="89">
        <v>0.06</v>
      </c>
      <c r="D34" s="3">
        <f t="shared" si="1"/>
        <v>0.7</v>
      </c>
      <c r="E34" s="89">
        <f t="shared" si="5"/>
        <v>0.7500000000000001</v>
      </c>
      <c r="F34" s="91">
        <f t="shared" si="2"/>
        <v>750.0000000000001</v>
      </c>
      <c r="G34" s="91">
        <f t="shared" si="6"/>
        <v>743.0500000000001</v>
      </c>
      <c r="H34" s="91">
        <f t="shared" si="3"/>
        <v>6.9500000000000455</v>
      </c>
      <c r="I34" s="91">
        <f t="shared" si="7"/>
        <v>1920.2025000000003</v>
      </c>
      <c r="J34" s="92">
        <f t="shared" si="4"/>
        <v>0.0038611111111111363</v>
      </c>
    </row>
    <row r="35" spans="2:10" ht="12.75">
      <c r="B35" s="30">
        <v>10</v>
      </c>
      <c r="C35" s="89">
        <v>0.05</v>
      </c>
      <c r="D35" s="3">
        <f t="shared" si="1"/>
        <v>0.75</v>
      </c>
      <c r="E35" s="89">
        <f t="shared" si="5"/>
        <v>0.8000000000000002</v>
      </c>
      <c r="F35" s="91">
        <f t="shared" si="2"/>
        <v>800.0000000000001</v>
      </c>
      <c r="G35" s="91">
        <f t="shared" si="6"/>
        <v>743.0500000000001</v>
      </c>
      <c r="H35" s="91">
        <f t="shared" si="3"/>
        <v>56.950000000000045</v>
      </c>
      <c r="I35" s="91">
        <f t="shared" si="7"/>
        <v>1870.2025000000003</v>
      </c>
      <c r="J35" s="92">
        <f t="shared" si="4"/>
        <v>0.03163888888888891</v>
      </c>
    </row>
    <row r="36" spans="2:10" ht="12.75">
      <c r="B36" s="30">
        <v>11</v>
      </c>
      <c r="C36" s="89">
        <v>0.04</v>
      </c>
      <c r="D36" s="3">
        <f t="shared" si="1"/>
        <v>0.79</v>
      </c>
      <c r="E36" s="89">
        <f t="shared" si="5"/>
        <v>0.8500000000000002</v>
      </c>
      <c r="F36" s="91">
        <f t="shared" si="2"/>
        <v>850.0000000000002</v>
      </c>
      <c r="G36" s="91">
        <f t="shared" si="6"/>
        <v>743.0500000000001</v>
      </c>
      <c r="H36" s="91">
        <f t="shared" si="3"/>
        <v>106.95000000000016</v>
      </c>
      <c r="I36" s="91">
        <f t="shared" si="7"/>
        <v>1820.2025</v>
      </c>
      <c r="J36" s="92">
        <f t="shared" si="4"/>
        <v>0.059416666666666756</v>
      </c>
    </row>
    <row r="37" spans="2:10" ht="12.75">
      <c r="B37" s="30">
        <v>12</v>
      </c>
      <c r="C37" s="89">
        <v>0.04</v>
      </c>
      <c r="D37" s="3">
        <f t="shared" si="1"/>
        <v>0.8300000000000001</v>
      </c>
      <c r="E37" s="89">
        <f t="shared" si="5"/>
        <v>0.9000000000000002</v>
      </c>
      <c r="F37" s="91">
        <f t="shared" si="2"/>
        <v>900.0000000000002</v>
      </c>
      <c r="G37" s="91">
        <f t="shared" si="6"/>
        <v>743.0500000000001</v>
      </c>
      <c r="H37" s="91">
        <f t="shared" si="3"/>
        <v>156.95000000000016</v>
      </c>
      <c r="I37" s="91">
        <f t="shared" si="7"/>
        <v>1770.2025</v>
      </c>
      <c r="J37" s="92">
        <f t="shared" si="4"/>
        <v>0.08719444444444453</v>
      </c>
    </row>
    <row r="38" spans="2:10" ht="12.75">
      <c r="B38" s="30">
        <v>13</v>
      </c>
      <c r="C38" s="89">
        <v>0.03</v>
      </c>
      <c r="D38" s="3">
        <f t="shared" si="1"/>
        <v>0.8600000000000001</v>
      </c>
      <c r="E38" s="89">
        <f t="shared" si="5"/>
        <v>0.9500000000000003</v>
      </c>
      <c r="F38" s="91">
        <f t="shared" si="2"/>
        <v>950.0000000000003</v>
      </c>
      <c r="G38" s="91">
        <f t="shared" si="6"/>
        <v>743.0500000000001</v>
      </c>
      <c r="H38" s="91">
        <f t="shared" si="3"/>
        <v>206.95000000000027</v>
      </c>
      <c r="I38" s="91">
        <f t="shared" si="7"/>
        <v>1720.2024999999999</v>
      </c>
      <c r="J38" s="92">
        <f t="shared" si="4"/>
        <v>0.11497222222222238</v>
      </c>
    </row>
    <row r="39" spans="2:10" ht="12.75">
      <c r="B39" s="30">
        <v>14</v>
      </c>
      <c r="C39" s="89">
        <v>0.03</v>
      </c>
      <c r="D39" s="3">
        <f t="shared" si="1"/>
        <v>0.8900000000000001</v>
      </c>
      <c r="E39" s="89">
        <f t="shared" si="5"/>
        <v>1.0000000000000002</v>
      </c>
      <c r="F39" s="91">
        <f t="shared" si="2"/>
        <v>1000.0000000000002</v>
      </c>
      <c r="G39" s="91">
        <f t="shared" si="6"/>
        <v>743.0500000000001</v>
      </c>
      <c r="H39" s="91">
        <f t="shared" si="3"/>
        <v>256.95000000000016</v>
      </c>
      <c r="I39" s="91">
        <f t="shared" si="7"/>
        <v>1670.2025</v>
      </c>
      <c r="J39" s="92">
        <f t="shared" si="4"/>
        <v>0.1427500000000001</v>
      </c>
    </row>
    <row r="40" spans="2:10" ht="12.75">
      <c r="B40" s="30">
        <v>15</v>
      </c>
      <c r="C40" s="89">
        <v>0.03</v>
      </c>
      <c r="D40" s="3">
        <f t="shared" si="1"/>
        <v>0.9200000000000002</v>
      </c>
      <c r="E40" s="89">
        <f t="shared" si="5"/>
        <v>1.0500000000000003</v>
      </c>
      <c r="F40" s="91">
        <f t="shared" si="2"/>
        <v>1050.0000000000002</v>
      </c>
      <c r="G40" s="91">
        <f t="shared" si="6"/>
        <v>743.0500000000001</v>
      </c>
      <c r="H40" s="91">
        <f t="shared" si="3"/>
        <v>306.95000000000016</v>
      </c>
      <c r="I40" s="91">
        <f t="shared" si="7"/>
        <v>1620.2025</v>
      </c>
      <c r="J40" s="92">
        <f t="shared" si="4"/>
        <v>0.17052777777777786</v>
      </c>
    </row>
    <row r="41" spans="2:10" ht="12.75">
      <c r="B41" s="30">
        <v>16</v>
      </c>
      <c r="C41" s="89">
        <v>0.02</v>
      </c>
      <c r="D41" s="3">
        <f t="shared" si="1"/>
        <v>0.9400000000000002</v>
      </c>
      <c r="E41" s="89">
        <f t="shared" si="5"/>
        <v>1.1000000000000003</v>
      </c>
      <c r="F41" s="91">
        <f t="shared" si="2"/>
        <v>1100.0000000000002</v>
      </c>
      <c r="G41" s="91">
        <f t="shared" si="6"/>
        <v>743.0500000000001</v>
      </c>
      <c r="H41" s="91">
        <f t="shared" si="3"/>
        <v>356.95000000000016</v>
      </c>
      <c r="I41" s="91">
        <f t="shared" si="7"/>
        <v>1570.2025</v>
      </c>
      <c r="J41" s="92">
        <f t="shared" si="4"/>
        <v>0.19830555555555565</v>
      </c>
    </row>
    <row r="42" spans="2:10" ht="12.75">
      <c r="B42" s="30">
        <v>17</v>
      </c>
      <c r="C42" s="89">
        <v>0.02</v>
      </c>
      <c r="D42" s="3">
        <f t="shared" si="1"/>
        <v>0.9600000000000002</v>
      </c>
      <c r="E42" s="89">
        <f t="shared" si="5"/>
        <v>1.1500000000000004</v>
      </c>
      <c r="F42" s="91">
        <f t="shared" si="2"/>
        <v>1150.0000000000005</v>
      </c>
      <c r="G42" s="91">
        <f t="shared" si="6"/>
        <v>743.0500000000001</v>
      </c>
      <c r="H42" s="91">
        <f t="shared" si="3"/>
        <v>406.9500000000004</v>
      </c>
      <c r="I42" s="91">
        <f t="shared" si="7"/>
        <v>1520.2024999999999</v>
      </c>
      <c r="J42" s="92">
        <f t="shared" si="4"/>
        <v>0.22608333333333355</v>
      </c>
    </row>
    <row r="43" spans="2:10" ht="12.75">
      <c r="B43" s="30">
        <v>18</v>
      </c>
      <c r="C43" s="89">
        <v>0.02</v>
      </c>
      <c r="D43" s="3">
        <f t="shared" si="1"/>
        <v>0.9800000000000002</v>
      </c>
      <c r="E43" s="89">
        <f t="shared" si="5"/>
        <v>1.2000000000000004</v>
      </c>
      <c r="F43" s="91">
        <f t="shared" si="2"/>
        <v>1200.0000000000005</v>
      </c>
      <c r="G43" s="91">
        <f t="shared" si="6"/>
        <v>743.0500000000001</v>
      </c>
      <c r="H43" s="91">
        <f t="shared" si="3"/>
        <v>456.9500000000004</v>
      </c>
      <c r="I43" s="91">
        <f t="shared" si="7"/>
        <v>1470.2024999999999</v>
      </c>
      <c r="J43" s="92">
        <f t="shared" si="4"/>
        <v>0.2538611111111113</v>
      </c>
    </row>
    <row r="44" spans="2:10" ht="12.75">
      <c r="B44" s="30">
        <v>19</v>
      </c>
      <c r="C44" s="89">
        <v>0.01</v>
      </c>
      <c r="D44" s="3">
        <f t="shared" si="1"/>
        <v>0.9900000000000002</v>
      </c>
      <c r="E44" s="89">
        <f t="shared" si="5"/>
        <v>1.2500000000000004</v>
      </c>
      <c r="F44" s="91">
        <f t="shared" si="2"/>
        <v>1250.0000000000005</v>
      </c>
      <c r="G44" s="91">
        <f t="shared" si="6"/>
        <v>743.0500000000001</v>
      </c>
      <c r="H44" s="91">
        <f t="shared" si="3"/>
        <v>506.9500000000004</v>
      </c>
      <c r="I44" s="91">
        <f t="shared" si="7"/>
        <v>1420.2024999999999</v>
      </c>
      <c r="J44" s="92">
        <f t="shared" si="4"/>
        <v>0.2816388888888891</v>
      </c>
    </row>
    <row r="45" spans="2:10" ht="13.5" thickBot="1">
      <c r="B45" s="37">
        <v>20</v>
      </c>
      <c r="C45" s="90">
        <v>0.01</v>
      </c>
      <c r="D45" s="3">
        <f t="shared" si="1"/>
        <v>1.0000000000000002</v>
      </c>
      <c r="E45" s="90">
        <f t="shared" si="5"/>
        <v>1.3000000000000005</v>
      </c>
      <c r="F45" s="91">
        <f t="shared" si="2"/>
        <v>1300.0000000000005</v>
      </c>
      <c r="G45" s="91">
        <f t="shared" si="6"/>
        <v>743.0500000000001</v>
      </c>
      <c r="H45" s="91">
        <f t="shared" si="3"/>
        <v>556.9500000000004</v>
      </c>
      <c r="I45" s="91">
        <f t="shared" si="7"/>
        <v>1370.2024999999999</v>
      </c>
      <c r="J45" s="92">
        <f t="shared" si="4"/>
        <v>0.3094166666666669</v>
      </c>
    </row>
    <row r="46" spans="1:9" ht="12.75">
      <c r="A46" s="37"/>
      <c r="B46" s="2"/>
      <c r="C46" s="3"/>
      <c r="D46" s="2"/>
      <c r="E46" s="4"/>
      <c r="F46" s="15"/>
      <c r="G46" s="4"/>
      <c r="H46" s="4"/>
      <c r="I46" s="7"/>
    </row>
    <row r="47" spans="1:12" ht="26.25">
      <c r="A47" s="43" t="str">
        <f>A1</f>
        <v>Exhibit 12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26.25">
      <c r="A48" s="45" t="str">
        <f>A2</f>
        <v>CASE 12 -- Base Case with Half the CS</v>
      </c>
      <c r="B48" s="44"/>
      <c r="C48" s="44"/>
      <c r="D48" s="44"/>
      <c r="E48" s="44"/>
      <c r="F48" s="45"/>
      <c r="G48" s="44"/>
      <c r="H48" s="44"/>
      <c r="I48" s="44"/>
      <c r="J48" s="44"/>
      <c r="K48" s="44"/>
      <c r="L48" s="44"/>
    </row>
    <row r="49" spans="6:9" ht="13.5" thickBot="1">
      <c r="F49" s="5"/>
      <c r="I49" s="9"/>
    </row>
    <row r="50" spans="2:10" ht="20.25" thickBot="1" thickTop="1">
      <c r="B50" s="20"/>
      <c r="C50" s="21"/>
      <c r="D50" s="67"/>
      <c r="E50" s="67"/>
      <c r="F50" s="29" t="s">
        <v>23</v>
      </c>
      <c r="G50" s="67"/>
      <c r="H50" s="67"/>
      <c r="I50" s="67"/>
      <c r="J50" s="68"/>
    </row>
    <row r="51" spans="2:10" ht="13.5" thickBot="1">
      <c r="B51" s="69"/>
      <c r="C51" s="127" t="s">
        <v>67</v>
      </c>
      <c r="D51" s="128">
        <v>1</v>
      </c>
      <c r="E51" s="128">
        <v>2</v>
      </c>
      <c r="F51" s="128">
        <v>3</v>
      </c>
      <c r="G51" s="128">
        <v>4</v>
      </c>
      <c r="H51" s="128">
        <v>5</v>
      </c>
      <c r="I51" s="128">
        <v>6</v>
      </c>
      <c r="J51" s="129">
        <v>7</v>
      </c>
    </row>
    <row r="52" spans="2:11" ht="16.5" thickTop="1">
      <c r="B52" s="70" t="str">
        <f>"["&amp;TEXT(VALUE(MID(J18,2,LEN(J18)-2))+1,"#")&amp;"]"</f>
        <v>[24]</v>
      </c>
      <c r="C52" s="71" t="s">
        <v>0</v>
      </c>
      <c r="D52" s="11">
        <v>0.25</v>
      </c>
      <c r="E52" s="12">
        <v>0.25</v>
      </c>
      <c r="F52" s="12">
        <v>0.25</v>
      </c>
      <c r="G52" s="12">
        <v>0.25</v>
      </c>
      <c r="H52" s="12">
        <v>1</v>
      </c>
      <c r="I52" s="12">
        <v>2</v>
      </c>
      <c r="J52" s="75">
        <v>999.99</v>
      </c>
      <c r="K52" s="83" t="s">
        <v>41</v>
      </c>
    </row>
    <row r="53" spans="2:11" ht="16.5" thickBot="1">
      <c r="B53" s="65" t="str">
        <f>"["&amp;TEXT(VALUE(MID(B52,2,LEN(B52)-2))+1,"#")&amp;"]"</f>
        <v>[25]</v>
      </c>
      <c r="C53" s="72" t="s">
        <v>1</v>
      </c>
      <c r="D53" s="76">
        <v>0</v>
      </c>
      <c r="E53" s="73">
        <v>0.25</v>
      </c>
      <c r="F53" s="73">
        <v>0.5</v>
      </c>
      <c r="G53" s="73">
        <v>0.75</v>
      </c>
      <c r="H53" s="73">
        <v>1</v>
      </c>
      <c r="I53" s="73">
        <v>2</v>
      </c>
      <c r="J53" s="74">
        <v>4</v>
      </c>
      <c r="K53" s="86" t="s">
        <v>41</v>
      </c>
    </row>
    <row r="54" ht="13.5" thickTop="1"/>
    <row r="55" spans="2:10" s="103" customFormat="1" ht="15.75">
      <c r="B55" s="34" t="str">
        <f>B18</f>
        <v>[15]</v>
      </c>
      <c r="D55" s="34" t="str">
        <f>"["&amp;TEXT(VALUE(MID(B53,2,LEN(B53)-2))+1,"#")&amp;"]"</f>
        <v>[26]</v>
      </c>
      <c r="E55" s="34" t="str">
        <f aca="true" t="shared" si="8" ref="E55:J55">"["&amp;TEXT(VALUE(MID(D55,2,LEN(D55)-2))+1,"#")&amp;"]"</f>
        <v>[27]</v>
      </c>
      <c r="F55" s="34" t="str">
        <f t="shared" si="8"/>
        <v>[28]</v>
      </c>
      <c r="G55" s="34" t="str">
        <f t="shared" si="8"/>
        <v>[29]</v>
      </c>
      <c r="H55" s="34" t="str">
        <f t="shared" si="8"/>
        <v>[30]</v>
      </c>
      <c r="I55" s="34" t="str">
        <f t="shared" si="8"/>
        <v>[31]</v>
      </c>
      <c r="J55" s="34" t="str">
        <f t="shared" si="8"/>
        <v>[32]</v>
      </c>
    </row>
    <row r="56" ht="13.5" thickBot="1"/>
    <row r="57" spans="4:11" ht="13.5" thickTop="1">
      <c r="D57" s="10" t="s">
        <v>9</v>
      </c>
      <c r="E57" s="10" t="s">
        <v>10</v>
      </c>
      <c r="F57" s="10" t="s">
        <v>11</v>
      </c>
      <c r="G57" s="10" t="s">
        <v>12</v>
      </c>
      <c r="H57" s="10" t="s">
        <v>13</v>
      </c>
      <c r="I57" s="10" t="s">
        <v>14</v>
      </c>
      <c r="J57" s="10" t="s">
        <v>15</v>
      </c>
      <c r="K57" s="83" t="s">
        <v>44</v>
      </c>
    </row>
    <row r="58" spans="2:11" ht="12.75">
      <c r="B58" s="39" t="s">
        <v>68</v>
      </c>
      <c r="D58" s="10" t="s">
        <v>6</v>
      </c>
      <c r="E58" s="10" t="s">
        <v>6</v>
      </c>
      <c r="F58" s="10" t="s">
        <v>6</v>
      </c>
      <c r="G58" s="10" t="s">
        <v>6</v>
      </c>
      <c r="H58" s="10" t="s">
        <v>6</v>
      </c>
      <c r="I58" s="10" t="s">
        <v>6</v>
      </c>
      <c r="J58" s="10" t="s">
        <v>6</v>
      </c>
      <c r="K58" s="84" t="str">
        <f>"MAX( 0, MIN( "&amp;H18&amp;" -"</f>
        <v>MAX( 0, MIN( [21] -</v>
      </c>
    </row>
    <row r="59" spans="8:11" ht="13.5" thickBot="1">
      <c r="H59" s="6"/>
      <c r="I59" s="6"/>
      <c r="K59" s="81" t="str">
        <f>B53&amp;" * "&amp;E5&amp;", "&amp;B52&amp;" * "&amp;E5&amp;" ) )"</f>
        <v>[25] * [1], [24] * [1] ) )</v>
      </c>
    </row>
    <row r="60" spans="2:10" ht="13.5" thickTop="1">
      <c r="B60" s="30">
        <v>1</v>
      </c>
      <c r="D60" s="8">
        <f aca="true" t="shared" si="9" ref="D60:J69">MAX(0,MIN($H26-D$53*$H$5,D$52*$H$5))</f>
        <v>0</v>
      </c>
      <c r="E60" s="8">
        <f t="shared" si="9"/>
        <v>0</v>
      </c>
      <c r="F60" s="8">
        <f t="shared" si="9"/>
        <v>0</v>
      </c>
      <c r="G60" s="8">
        <f t="shared" si="9"/>
        <v>0</v>
      </c>
      <c r="H60" s="8">
        <f t="shared" si="9"/>
        <v>0</v>
      </c>
      <c r="I60" s="8">
        <f t="shared" si="9"/>
        <v>0</v>
      </c>
      <c r="J60" s="8">
        <f t="shared" si="9"/>
        <v>0</v>
      </c>
    </row>
    <row r="61" spans="2:10" ht="12.75">
      <c r="B61" s="30">
        <v>2</v>
      </c>
      <c r="D61" s="8">
        <f t="shared" si="9"/>
        <v>0</v>
      </c>
      <c r="E61" s="8">
        <f t="shared" si="9"/>
        <v>0</v>
      </c>
      <c r="F61" s="8">
        <f t="shared" si="9"/>
        <v>0</v>
      </c>
      <c r="G61" s="8">
        <f t="shared" si="9"/>
        <v>0</v>
      </c>
      <c r="H61" s="8">
        <f t="shared" si="9"/>
        <v>0</v>
      </c>
      <c r="I61" s="8">
        <f t="shared" si="9"/>
        <v>0</v>
      </c>
      <c r="J61" s="8">
        <f t="shared" si="9"/>
        <v>0</v>
      </c>
    </row>
    <row r="62" spans="2:11" ht="12.75">
      <c r="B62" s="30">
        <v>3</v>
      </c>
      <c r="D62" s="8">
        <f t="shared" si="9"/>
        <v>0</v>
      </c>
      <c r="E62" s="8">
        <f t="shared" si="9"/>
        <v>0</v>
      </c>
      <c r="F62" s="8">
        <f t="shared" si="9"/>
        <v>0</v>
      </c>
      <c r="G62" s="8">
        <f t="shared" si="9"/>
        <v>0</v>
      </c>
      <c r="H62" s="8">
        <f t="shared" si="9"/>
        <v>0</v>
      </c>
      <c r="I62" s="8">
        <f t="shared" si="9"/>
        <v>0</v>
      </c>
      <c r="J62" s="8">
        <f t="shared" si="9"/>
        <v>0</v>
      </c>
      <c r="K62" s="40"/>
    </row>
    <row r="63" spans="2:10" ht="12.75">
      <c r="B63" s="30">
        <v>4</v>
      </c>
      <c r="D63" s="8">
        <f t="shared" si="9"/>
        <v>0</v>
      </c>
      <c r="E63" s="8">
        <f t="shared" si="9"/>
        <v>0</v>
      </c>
      <c r="F63" s="8">
        <f t="shared" si="9"/>
        <v>0</v>
      </c>
      <c r="G63" s="8">
        <f t="shared" si="9"/>
        <v>0</v>
      </c>
      <c r="H63" s="8">
        <f t="shared" si="9"/>
        <v>0</v>
      </c>
      <c r="I63" s="8">
        <f t="shared" si="9"/>
        <v>0</v>
      </c>
      <c r="J63" s="8">
        <f t="shared" si="9"/>
        <v>0</v>
      </c>
    </row>
    <row r="64" spans="2:10" ht="12.75">
      <c r="B64" s="30">
        <v>5</v>
      </c>
      <c r="D64" s="8">
        <f t="shared" si="9"/>
        <v>0</v>
      </c>
      <c r="E64" s="8">
        <f t="shared" si="9"/>
        <v>0</v>
      </c>
      <c r="F64" s="8">
        <f t="shared" si="9"/>
        <v>0</v>
      </c>
      <c r="G64" s="8">
        <f t="shared" si="9"/>
        <v>0</v>
      </c>
      <c r="H64" s="8">
        <f t="shared" si="9"/>
        <v>0</v>
      </c>
      <c r="I64" s="8">
        <f t="shared" si="9"/>
        <v>0</v>
      </c>
      <c r="J64" s="8">
        <f t="shared" si="9"/>
        <v>0</v>
      </c>
    </row>
    <row r="65" spans="2:10" ht="12.75">
      <c r="B65" s="30">
        <v>6</v>
      </c>
      <c r="D65" s="8">
        <f t="shared" si="9"/>
        <v>0</v>
      </c>
      <c r="E65" s="8">
        <f t="shared" si="9"/>
        <v>0</v>
      </c>
      <c r="F65" s="8">
        <f t="shared" si="9"/>
        <v>0</v>
      </c>
      <c r="G65" s="8">
        <f t="shared" si="9"/>
        <v>0</v>
      </c>
      <c r="H65" s="8">
        <f t="shared" si="9"/>
        <v>0</v>
      </c>
      <c r="I65" s="8">
        <f t="shared" si="9"/>
        <v>0</v>
      </c>
      <c r="J65" s="8">
        <f t="shared" si="9"/>
        <v>0</v>
      </c>
    </row>
    <row r="66" spans="2:10" ht="12.75">
      <c r="B66" s="30">
        <v>7</v>
      </c>
      <c r="D66" s="8">
        <f t="shared" si="9"/>
        <v>0</v>
      </c>
      <c r="E66" s="8">
        <f t="shared" si="9"/>
        <v>0</v>
      </c>
      <c r="F66" s="8">
        <f t="shared" si="9"/>
        <v>0</v>
      </c>
      <c r="G66" s="8">
        <f t="shared" si="9"/>
        <v>0</v>
      </c>
      <c r="H66" s="8">
        <f t="shared" si="9"/>
        <v>0</v>
      </c>
      <c r="I66" s="8">
        <f t="shared" si="9"/>
        <v>0</v>
      </c>
      <c r="J66" s="8">
        <f t="shared" si="9"/>
        <v>0</v>
      </c>
    </row>
    <row r="67" spans="2:10" ht="12.75">
      <c r="B67" s="30">
        <v>8</v>
      </c>
      <c r="D67" s="8">
        <f t="shared" si="9"/>
        <v>0</v>
      </c>
      <c r="E67" s="8">
        <f t="shared" si="9"/>
        <v>0</v>
      </c>
      <c r="F67" s="8">
        <f t="shared" si="9"/>
        <v>0</v>
      </c>
      <c r="G67" s="8">
        <f t="shared" si="9"/>
        <v>0</v>
      </c>
      <c r="H67" s="8">
        <f t="shared" si="9"/>
        <v>0</v>
      </c>
      <c r="I67" s="8">
        <f t="shared" si="9"/>
        <v>0</v>
      </c>
      <c r="J67" s="8">
        <f t="shared" si="9"/>
        <v>0</v>
      </c>
    </row>
    <row r="68" spans="2:10" ht="12.75">
      <c r="B68" s="30">
        <v>9</v>
      </c>
      <c r="D68" s="8">
        <f t="shared" si="9"/>
        <v>6.9500000000000455</v>
      </c>
      <c r="E68" s="8">
        <f t="shared" si="9"/>
        <v>0</v>
      </c>
      <c r="F68" s="8">
        <f t="shared" si="9"/>
        <v>0</v>
      </c>
      <c r="G68" s="8">
        <f t="shared" si="9"/>
        <v>0</v>
      </c>
      <c r="H68" s="8">
        <f t="shared" si="9"/>
        <v>0</v>
      </c>
      <c r="I68" s="8">
        <f t="shared" si="9"/>
        <v>0</v>
      </c>
      <c r="J68" s="8">
        <f t="shared" si="9"/>
        <v>0</v>
      </c>
    </row>
    <row r="69" spans="2:10" ht="12.75">
      <c r="B69" s="30">
        <v>10</v>
      </c>
      <c r="D69" s="8">
        <f t="shared" si="9"/>
        <v>56.950000000000045</v>
      </c>
      <c r="E69" s="8">
        <f t="shared" si="9"/>
        <v>0</v>
      </c>
      <c r="F69" s="8">
        <f t="shared" si="9"/>
        <v>0</v>
      </c>
      <c r="G69" s="8">
        <f t="shared" si="9"/>
        <v>0</v>
      </c>
      <c r="H69" s="8">
        <f t="shared" si="9"/>
        <v>0</v>
      </c>
      <c r="I69" s="8">
        <f t="shared" si="9"/>
        <v>0</v>
      </c>
      <c r="J69" s="8">
        <f t="shared" si="9"/>
        <v>0</v>
      </c>
    </row>
    <row r="70" spans="2:10" ht="12.75">
      <c r="B70" s="30">
        <v>11</v>
      </c>
      <c r="D70" s="8">
        <f aca="true" t="shared" si="10" ref="D70:J79">MAX(0,MIN($H36-D$53*$H$5,D$52*$H$5))</f>
        <v>106.95000000000016</v>
      </c>
      <c r="E70" s="8">
        <f t="shared" si="10"/>
        <v>0</v>
      </c>
      <c r="F70" s="8">
        <f t="shared" si="10"/>
        <v>0</v>
      </c>
      <c r="G70" s="8">
        <f t="shared" si="10"/>
        <v>0</v>
      </c>
      <c r="H70" s="8">
        <f t="shared" si="10"/>
        <v>0</v>
      </c>
      <c r="I70" s="8">
        <f t="shared" si="10"/>
        <v>0</v>
      </c>
      <c r="J70" s="8">
        <f t="shared" si="10"/>
        <v>0</v>
      </c>
    </row>
    <row r="71" spans="2:10" ht="12.75">
      <c r="B71" s="30">
        <v>12</v>
      </c>
      <c r="D71" s="8">
        <f t="shared" si="10"/>
        <v>156.95000000000016</v>
      </c>
      <c r="E71" s="8">
        <f t="shared" si="10"/>
        <v>0</v>
      </c>
      <c r="F71" s="8">
        <f t="shared" si="10"/>
        <v>0</v>
      </c>
      <c r="G71" s="8">
        <f t="shared" si="10"/>
        <v>0</v>
      </c>
      <c r="H71" s="8">
        <f t="shared" si="10"/>
        <v>0</v>
      </c>
      <c r="I71" s="8">
        <f t="shared" si="10"/>
        <v>0</v>
      </c>
      <c r="J71" s="8">
        <f t="shared" si="10"/>
        <v>0</v>
      </c>
    </row>
    <row r="72" spans="2:10" ht="12.75">
      <c r="B72" s="30">
        <v>13</v>
      </c>
      <c r="D72" s="8">
        <f t="shared" si="10"/>
        <v>206.95000000000027</v>
      </c>
      <c r="E72" s="8">
        <f t="shared" si="10"/>
        <v>0</v>
      </c>
      <c r="F72" s="8">
        <f t="shared" si="10"/>
        <v>0</v>
      </c>
      <c r="G72" s="8">
        <f t="shared" si="10"/>
        <v>0</v>
      </c>
      <c r="H72" s="8">
        <f t="shared" si="10"/>
        <v>0</v>
      </c>
      <c r="I72" s="8">
        <f t="shared" si="10"/>
        <v>0</v>
      </c>
      <c r="J72" s="8">
        <f t="shared" si="10"/>
        <v>0</v>
      </c>
    </row>
    <row r="73" spans="2:10" ht="12.75">
      <c r="B73" s="30">
        <v>14</v>
      </c>
      <c r="D73" s="8">
        <f t="shared" si="10"/>
        <v>256.95000000000016</v>
      </c>
      <c r="E73" s="8">
        <f t="shared" si="10"/>
        <v>0</v>
      </c>
      <c r="F73" s="8">
        <f t="shared" si="10"/>
        <v>0</v>
      </c>
      <c r="G73" s="8">
        <f t="shared" si="10"/>
        <v>0</v>
      </c>
      <c r="H73" s="8">
        <f t="shared" si="10"/>
        <v>0</v>
      </c>
      <c r="I73" s="8">
        <f t="shared" si="10"/>
        <v>0</v>
      </c>
      <c r="J73" s="8">
        <f t="shared" si="10"/>
        <v>0</v>
      </c>
    </row>
    <row r="74" spans="2:10" ht="12.75">
      <c r="B74" s="30">
        <v>15</v>
      </c>
      <c r="D74" s="8">
        <f t="shared" si="10"/>
        <v>306.95000000000016</v>
      </c>
      <c r="E74" s="8">
        <f t="shared" si="10"/>
        <v>0</v>
      </c>
      <c r="F74" s="8">
        <f t="shared" si="10"/>
        <v>0</v>
      </c>
      <c r="G74" s="8">
        <f t="shared" si="10"/>
        <v>0</v>
      </c>
      <c r="H74" s="8">
        <f t="shared" si="10"/>
        <v>0</v>
      </c>
      <c r="I74" s="8">
        <f t="shared" si="10"/>
        <v>0</v>
      </c>
      <c r="J74" s="8">
        <f t="shared" si="10"/>
        <v>0</v>
      </c>
    </row>
    <row r="75" spans="2:10" ht="12.75">
      <c r="B75" s="30">
        <v>16</v>
      </c>
      <c r="D75" s="8">
        <f t="shared" si="10"/>
        <v>356.95000000000016</v>
      </c>
      <c r="E75" s="8">
        <f t="shared" si="10"/>
        <v>0</v>
      </c>
      <c r="F75" s="8">
        <f t="shared" si="10"/>
        <v>0</v>
      </c>
      <c r="G75" s="8">
        <f t="shared" si="10"/>
        <v>0</v>
      </c>
      <c r="H75" s="8">
        <f t="shared" si="10"/>
        <v>0</v>
      </c>
      <c r="I75" s="8">
        <f t="shared" si="10"/>
        <v>0</v>
      </c>
      <c r="J75" s="8">
        <f t="shared" si="10"/>
        <v>0</v>
      </c>
    </row>
    <row r="76" spans="2:10" ht="12.75">
      <c r="B76" s="30">
        <v>17</v>
      </c>
      <c r="D76" s="8">
        <f t="shared" si="10"/>
        <v>406.9500000000004</v>
      </c>
      <c r="E76" s="8">
        <f t="shared" si="10"/>
        <v>0</v>
      </c>
      <c r="F76" s="8">
        <f t="shared" si="10"/>
        <v>0</v>
      </c>
      <c r="G76" s="8">
        <f t="shared" si="10"/>
        <v>0</v>
      </c>
      <c r="H76" s="8">
        <f t="shared" si="10"/>
        <v>0</v>
      </c>
      <c r="I76" s="8">
        <f t="shared" si="10"/>
        <v>0</v>
      </c>
      <c r="J76" s="8">
        <f t="shared" si="10"/>
        <v>0</v>
      </c>
    </row>
    <row r="77" spans="2:10" ht="12.75">
      <c r="B77" s="30">
        <v>18</v>
      </c>
      <c r="D77" s="8">
        <f t="shared" si="10"/>
        <v>450</v>
      </c>
      <c r="E77" s="8">
        <f t="shared" si="10"/>
        <v>6.9500000000003865</v>
      </c>
      <c r="F77" s="8">
        <f t="shared" si="10"/>
        <v>0</v>
      </c>
      <c r="G77" s="8">
        <f t="shared" si="10"/>
        <v>0</v>
      </c>
      <c r="H77" s="8">
        <f t="shared" si="10"/>
        <v>0</v>
      </c>
      <c r="I77" s="8">
        <f t="shared" si="10"/>
        <v>0</v>
      </c>
      <c r="J77" s="8">
        <f t="shared" si="10"/>
        <v>0</v>
      </c>
    </row>
    <row r="78" spans="2:10" ht="12.75">
      <c r="B78" s="30">
        <v>19</v>
      </c>
      <c r="D78" s="8">
        <f t="shared" si="10"/>
        <v>450</v>
      </c>
      <c r="E78" s="8">
        <f t="shared" si="10"/>
        <v>56.95000000000039</v>
      </c>
      <c r="F78" s="8">
        <f t="shared" si="10"/>
        <v>0</v>
      </c>
      <c r="G78" s="8">
        <f t="shared" si="10"/>
        <v>0</v>
      </c>
      <c r="H78" s="8">
        <f t="shared" si="10"/>
        <v>0</v>
      </c>
      <c r="I78" s="8">
        <f t="shared" si="10"/>
        <v>0</v>
      </c>
      <c r="J78" s="8">
        <f t="shared" si="10"/>
        <v>0</v>
      </c>
    </row>
    <row r="79" spans="2:10" ht="12.75">
      <c r="B79" s="37">
        <v>20</v>
      </c>
      <c r="D79" s="8">
        <f t="shared" si="10"/>
        <v>450</v>
      </c>
      <c r="E79" s="8">
        <f t="shared" si="10"/>
        <v>106.95000000000039</v>
      </c>
      <c r="F79" s="8">
        <f t="shared" si="10"/>
        <v>0</v>
      </c>
      <c r="G79" s="8">
        <f t="shared" si="10"/>
        <v>0</v>
      </c>
      <c r="H79" s="8">
        <f t="shared" si="10"/>
        <v>0</v>
      </c>
      <c r="I79" s="8">
        <f t="shared" si="10"/>
        <v>0</v>
      </c>
      <c r="J79" s="8">
        <f t="shared" si="10"/>
        <v>0</v>
      </c>
    </row>
    <row r="80" spans="4:10" ht="12.75">
      <c r="D80" s="8"/>
      <c r="E80" s="8"/>
      <c r="F80" s="8"/>
      <c r="G80" s="8"/>
      <c r="H80" s="8"/>
      <c r="I80" s="8"/>
      <c r="J80" s="8"/>
    </row>
    <row r="81" ht="13.5" thickBot="1"/>
    <row r="82" spans="1:11" ht="16.5" thickTop="1">
      <c r="A82" s="77" t="str">
        <f>"["&amp;TEXT(VALUE(MID(J55,2,LEN(J55)-2))+1,"#")&amp;"]"</f>
        <v>[33]</v>
      </c>
      <c r="B82" s="60" t="s">
        <v>40</v>
      </c>
      <c r="C82" s="21"/>
      <c r="D82" s="93">
        <f aca="true" t="shared" si="11" ref="D82:J82">SUMPRODUCT($C26:$C45,D60:D79)</f>
        <v>70.22400000000005</v>
      </c>
      <c r="E82" s="93">
        <f t="shared" si="11"/>
        <v>1.7780000000000156</v>
      </c>
      <c r="F82" s="93">
        <f t="shared" si="11"/>
        <v>0</v>
      </c>
      <c r="G82" s="93">
        <f t="shared" si="11"/>
        <v>0</v>
      </c>
      <c r="H82" s="93">
        <f t="shared" si="11"/>
        <v>0</v>
      </c>
      <c r="I82" s="93">
        <f t="shared" si="11"/>
        <v>0</v>
      </c>
      <c r="J82" s="94">
        <f t="shared" si="11"/>
        <v>0</v>
      </c>
      <c r="K82" s="49" t="s">
        <v>66</v>
      </c>
    </row>
    <row r="83" spans="1:11" ht="16.5" thickBot="1">
      <c r="A83" s="61" t="str">
        <f>"["&amp;TEXT(VALUE(MID(A82,2,LEN(A82)-2))+1,"#")&amp;"]"</f>
        <v>[34]</v>
      </c>
      <c r="B83" s="62" t="s">
        <v>25</v>
      </c>
      <c r="C83" s="22"/>
      <c r="D83" s="95">
        <f aca="true" t="shared" si="12" ref="D83:J83">D$82/$H$5/D$52</f>
        <v>0.15605333333333343</v>
      </c>
      <c r="E83" s="95">
        <f t="shared" si="12"/>
        <v>0.003951111111111146</v>
      </c>
      <c r="F83" s="95">
        <f t="shared" si="12"/>
        <v>0</v>
      </c>
      <c r="G83" s="95">
        <f t="shared" si="12"/>
        <v>0</v>
      </c>
      <c r="H83" s="95">
        <f t="shared" si="12"/>
        <v>0</v>
      </c>
      <c r="I83" s="95">
        <f t="shared" si="12"/>
        <v>0</v>
      </c>
      <c r="J83" s="96">
        <f t="shared" si="12"/>
        <v>0</v>
      </c>
      <c r="K83" s="50" t="str">
        <f>"="&amp;A82&amp;" / "&amp;E5&amp;" / "&amp;B52</f>
        <v>=[33] / [1] / [24]</v>
      </c>
    </row>
    <row r="84" spans="1:11" ht="15.75">
      <c r="A84" s="61" t="str">
        <f>"["&amp;TEXT(VALUE(MID(A83,2,LEN(A83)-2))+1,"#")&amp;"]"</f>
        <v>[35]</v>
      </c>
      <c r="B84" s="63" t="s">
        <v>26</v>
      </c>
      <c r="C84" s="22"/>
      <c r="D84" s="18">
        <v>0.1</v>
      </c>
      <c r="E84" s="19">
        <v>0.25</v>
      </c>
      <c r="F84" s="19">
        <v>0.5</v>
      </c>
      <c r="G84" s="19">
        <v>0.75</v>
      </c>
      <c r="H84" s="19">
        <v>1</v>
      </c>
      <c r="I84" s="19">
        <v>2</v>
      </c>
      <c r="J84" s="78">
        <v>4</v>
      </c>
      <c r="K84" s="80" t="s">
        <v>41</v>
      </c>
    </row>
    <row r="85" spans="1:11" ht="16.5" thickBot="1">
      <c r="A85" s="61" t="str">
        <f>"["&amp;TEXT(VALUE(MID(A84,2,LEN(A84)-2))+1,"#")&amp;"]"</f>
        <v>[36]</v>
      </c>
      <c r="B85" s="63" t="s">
        <v>27</v>
      </c>
      <c r="C85" s="22"/>
      <c r="D85" s="16">
        <v>0.001</v>
      </c>
      <c r="E85" s="17">
        <v>0.001</v>
      </c>
      <c r="F85" s="17">
        <v>0.001</v>
      </c>
      <c r="G85" s="17">
        <v>0.001</v>
      </c>
      <c r="H85" s="17">
        <v>0.001</v>
      </c>
      <c r="I85" s="17">
        <v>0.001</v>
      </c>
      <c r="J85" s="79">
        <v>0.001</v>
      </c>
      <c r="K85" s="80" t="s">
        <v>41</v>
      </c>
    </row>
    <row r="86" spans="1:11" ht="15.75">
      <c r="A86" s="61" t="str">
        <f>"["&amp;TEXT(VALUE(MID(A85,2,LEN(A85)-2))+1,"#")&amp;"]"</f>
        <v>[37]</v>
      </c>
      <c r="B86" s="64" t="s">
        <v>34</v>
      </c>
      <c r="C86" s="22"/>
      <c r="D86" s="95">
        <f aca="true" t="shared" si="13" ref="D86:J86">IF(D83&gt;0,D85+(1+D84)*D83,0)</f>
        <v>0.1726586666666668</v>
      </c>
      <c r="E86" s="95">
        <f t="shared" si="13"/>
        <v>0.005938888888888932</v>
      </c>
      <c r="F86" s="95">
        <f t="shared" si="13"/>
        <v>0</v>
      </c>
      <c r="G86" s="95">
        <f t="shared" si="13"/>
        <v>0</v>
      </c>
      <c r="H86" s="95">
        <f t="shared" si="13"/>
        <v>0</v>
      </c>
      <c r="I86" s="95">
        <f t="shared" si="13"/>
        <v>0</v>
      </c>
      <c r="J86" s="96">
        <f t="shared" si="13"/>
        <v>0</v>
      </c>
      <c r="K86" s="50" t="str">
        <f>"="&amp;A83&amp;" *(1+"&amp;A84&amp;" ) + "&amp;A85</f>
        <v>=[34] *(1+[35] ) + [36]</v>
      </c>
    </row>
    <row r="87" spans="1:11" ht="16.5" thickBot="1">
      <c r="A87" s="65" t="str">
        <f>"["&amp;TEXT(VALUE(MID(A86,2,LEN(A86)-2))+1,"#")&amp;"]"</f>
        <v>[38]</v>
      </c>
      <c r="B87" s="66" t="s">
        <v>7</v>
      </c>
      <c r="C87" s="25"/>
      <c r="D87" s="97">
        <f aca="true" t="shared" si="14" ref="D87:J87">D86*D52*$H5</f>
        <v>77.69640000000005</v>
      </c>
      <c r="E87" s="97">
        <f t="shared" si="14"/>
        <v>2.6725000000000194</v>
      </c>
      <c r="F87" s="97">
        <f t="shared" si="14"/>
        <v>0</v>
      </c>
      <c r="G87" s="97">
        <f t="shared" si="14"/>
        <v>0</v>
      </c>
      <c r="H87" s="97">
        <f t="shared" si="14"/>
        <v>0</v>
      </c>
      <c r="I87" s="97">
        <f t="shared" si="14"/>
        <v>0</v>
      </c>
      <c r="J87" s="98">
        <f t="shared" si="14"/>
        <v>0</v>
      </c>
      <c r="K87" s="81" t="str">
        <f>"="&amp;A86&amp;" * "&amp;E5&amp;" * "&amp;B52</f>
        <v>=[37] * [1] * [24]</v>
      </c>
    </row>
    <row r="88" ht="16.5" thickTop="1">
      <c r="A88" s="33"/>
    </row>
  </sheetData>
  <printOptions horizontalCentered="1" verticalCentered="1"/>
  <pageMargins left="0.75" right="0.75" top="0.49" bottom="0.5" header="0.5" footer="0.5"/>
  <pageSetup fitToHeight="2" fitToWidth="1" horizontalDpi="300" verticalDpi="300" orientation="landscape" scale="79" r:id="rId1"/>
  <headerFooter alignWithMargins="0">
    <oddHeader>&amp;R&amp;"Arial,Bold Italic"&amp;14Page &amp;P of &amp;N</oddHeader>
  </headerFooter>
  <rowBreaks count="1" manualBreakCount="1">
    <brk id="4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15">
    <pageSetUpPr fitToPage="1"/>
  </sheetPr>
  <dimension ref="A1:L8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13.421875" style="0" customWidth="1"/>
    <col min="3" max="4" width="13.00390625" style="0" customWidth="1"/>
    <col min="5" max="5" width="13.28125" style="0" customWidth="1"/>
    <col min="6" max="6" width="15.7109375" style="0" customWidth="1"/>
    <col min="7" max="7" width="13.8515625" style="0" customWidth="1"/>
    <col min="8" max="8" width="12.140625" style="0" customWidth="1"/>
    <col min="9" max="9" width="15.421875" style="0" customWidth="1"/>
    <col min="10" max="10" width="13.7109375" style="0" customWidth="1"/>
    <col min="11" max="11" width="19.8515625" style="0" customWidth="1"/>
    <col min="12" max="12" width="14.140625" style="0" customWidth="1"/>
    <col min="13" max="16" width="11.421875" style="0" customWidth="1"/>
    <col min="17" max="17" width="11.7109375" style="0" customWidth="1"/>
  </cols>
  <sheetData>
    <row r="1" spans="1:12" ht="26.25">
      <c r="A1" s="43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6.25">
      <c r="A2" s="45" t="s">
        <v>45</v>
      </c>
      <c r="B2" s="44"/>
      <c r="C2" s="44"/>
      <c r="D2" s="44"/>
      <c r="E2" s="44"/>
      <c r="F2" s="45"/>
      <c r="G2" s="44"/>
      <c r="H2" s="44"/>
      <c r="I2" s="44"/>
      <c r="J2" s="44"/>
      <c r="K2" s="44"/>
      <c r="L2" s="44"/>
    </row>
    <row r="3" ht="13.5" thickBot="1">
      <c r="A3" s="1"/>
    </row>
    <row r="4" spans="1:11" ht="20.25" thickBot="1" thickTop="1">
      <c r="A4" s="1"/>
      <c r="E4" s="52"/>
      <c r="F4" s="55"/>
      <c r="G4" s="55" t="s">
        <v>32</v>
      </c>
      <c r="H4" s="54"/>
      <c r="I4" s="59"/>
      <c r="J4" s="13"/>
      <c r="K4" s="22"/>
    </row>
    <row r="5" spans="1:12" ht="17.25" thickBot="1" thickTop="1">
      <c r="A5" s="1"/>
      <c r="E5" s="35" t="s">
        <v>31</v>
      </c>
      <c r="F5" s="22" t="s">
        <v>2</v>
      </c>
      <c r="G5" s="22"/>
      <c r="H5" s="58">
        <f>Case1!H5</f>
        <v>3600</v>
      </c>
      <c r="I5" s="83" t="s">
        <v>41</v>
      </c>
      <c r="L5" s="40"/>
    </row>
    <row r="6" spans="1:9" ht="16.5" thickBot="1">
      <c r="A6" s="1"/>
      <c r="E6" s="35" t="str">
        <f>"["&amp;TEXT(VALUE(MID(E5,2,LEN(E5)-2))+1,"#")&amp;"]"</f>
        <v>[2]</v>
      </c>
      <c r="F6" s="23" t="s">
        <v>18</v>
      </c>
      <c r="G6" s="22"/>
      <c r="H6" s="24">
        <f>Case1!H6</f>
        <v>0.0615</v>
      </c>
      <c r="I6" s="87" t="s">
        <v>41</v>
      </c>
    </row>
    <row r="7" spans="1:9" ht="16.5" thickBot="1">
      <c r="A7" s="1"/>
      <c r="E7" s="35" t="str">
        <f>"["&amp;TEXT(VALUE(MID(E6,2,LEN(E6)-2))+1,"#")&amp;"]"</f>
        <v>[3]</v>
      </c>
      <c r="F7" s="22" t="s">
        <v>21</v>
      </c>
      <c r="G7" s="124"/>
      <c r="H7" s="125">
        <v>1000</v>
      </c>
      <c r="I7" s="87" t="s">
        <v>41</v>
      </c>
    </row>
    <row r="8" spans="1:9" ht="16.5" thickBot="1">
      <c r="A8" s="1"/>
      <c r="E8" s="36" t="str">
        <f>"["&amp;TEXT(VALUE(MID(E7,2,LEN(E7)-2))+1,"#")&amp;"]"</f>
        <v>[4]</v>
      </c>
      <c r="F8" s="25" t="s">
        <v>64</v>
      </c>
      <c r="G8" s="26"/>
      <c r="H8" s="126">
        <v>0.05</v>
      </c>
      <c r="I8" s="86" t="s">
        <v>41</v>
      </c>
    </row>
    <row r="9" spans="1:11" ht="17.25" thickBot="1" thickTop="1">
      <c r="A9" s="1"/>
      <c r="C9" s="41"/>
      <c r="D9" s="22"/>
      <c r="E9" s="13"/>
      <c r="F9" s="13"/>
      <c r="H9" s="41"/>
      <c r="I9" s="28"/>
      <c r="J9" s="22"/>
      <c r="K9" s="32"/>
    </row>
    <row r="10" spans="1:11" ht="20.25" thickBot="1" thickTop="1">
      <c r="A10" s="1"/>
      <c r="B10" s="52"/>
      <c r="C10" s="53"/>
      <c r="D10" s="54"/>
      <c r="E10" s="21"/>
      <c r="F10" s="55"/>
      <c r="G10" s="55" t="s">
        <v>33</v>
      </c>
      <c r="H10" s="53"/>
      <c r="I10" s="56"/>
      <c r="J10" s="54"/>
      <c r="K10" s="57"/>
    </row>
    <row r="11" spans="1:11" ht="16.5" thickTop="1">
      <c r="A11" s="1"/>
      <c r="B11" s="46" t="str">
        <f>"["&amp;TEXT(VALUE(MID(E8,2,LEN(E8)-2))+1,"#")&amp;"]"</f>
        <v>[5]</v>
      </c>
      <c r="C11" s="47" t="s">
        <v>19</v>
      </c>
      <c r="D11" s="48"/>
      <c r="E11" s="99">
        <f>H6*E12</f>
        <v>44.987249999999996</v>
      </c>
      <c r="F11" s="49" t="str">
        <f>"="&amp;E6&amp;" * "&amp;B12</f>
        <v>=[2] * [6]</v>
      </c>
      <c r="G11" s="46" t="str">
        <f>"["&amp;TEXT(VALUE(MID(B15,2,LEN(B15)-2))+1,"#")&amp;"]"</f>
        <v>[10]</v>
      </c>
      <c r="H11" s="21" t="s">
        <v>39</v>
      </c>
      <c r="I11" s="21"/>
      <c r="J11" s="93">
        <f>SUMPRODUCT($C26:$C45,I26:I45)</f>
        <v>3863.811612500001</v>
      </c>
      <c r="K11" s="49" t="str">
        <f>"=E{ "&amp;I18&amp;" }"</f>
        <v>=E{ [22] }</v>
      </c>
    </row>
    <row r="12" spans="1:11" ht="15.75">
      <c r="A12" s="1"/>
      <c r="B12" s="35" t="str">
        <f>"["&amp;TEXT(VALUE(MID(B11,2,LEN(B11)-2))+1,"#")&amp;"]"</f>
        <v>[6]</v>
      </c>
      <c r="C12" s="28" t="s">
        <v>37</v>
      </c>
      <c r="D12" s="22"/>
      <c r="E12" s="14">
        <f>SUMPRODUCT($C26:$C45,F26:F45)</f>
        <v>731.5</v>
      </c>
      <c r="F12" s="50" t="str">
        <f>"=E{ "&amp;F18&amp;" }"</f>
        <v>=E{ [19] }</v>
      </c>
      <c r="G12" s="106" t="str">
        <f>"["&amp;TEXT(VALUE(MID(G11,2,LEN(G11)-2))+1,"#")&amp;"]"</f>
        <v>[11]</v>
      </c>
      <c r="H12" s="110" t="s">
        <v>20</v>
      </c>
      <c r="I12" s="111"/>
      <c r="J12" s="107">
        <f>J11/H5-1</f>
        <v>0.07328100347222244</v>
      </c>
      <c r="K12" s="112" t="str">
        <f>"="&amp;G11&amp;" / "&amp;E5&amp;" - 1.00"</f>
        <v>=[10] / [1] - 1.00</v>
      </c>
    </row>
    <row r="13" spans="1:11" ht="15.75">
      <c r="A13" s="1"/>
      <c r="B13" s="35" t="str">
        <f>"["&amp;TEXT(VALUE(MID(B12,2,LEN(B12)-2))+1,"#")&amp;"]"</f>
        <v>[7]</v>
      </c>
      <c r="C13" s="28" t="s">
        <v>22</v>
      </c>
      <c r="D13" s="22"/>
      <c r="E13" s="100">
        <f>E11+H5+E12</f>
        <v>4376.48725</v>
      </c>
      <c r="F13" s="50" t="str">
        <f>"="&amp;E5&amp;" +"&amp;B11&amp;" +"&amp;B12</f>
        <v>=[1] +[5] +[6]</v>
      </c>
      <c r="G13" s="35" t="str">
        <f>"["&amp;TEXT(VALUE(MID(G12,2,LEN(G12)-2))+1,"#")&amp;"]"</f>
        <v>[12]</v>
      </c>
      <c r="H13" s="27" t="s">
        <v>35</v>
      </c>
      <c r="I13" s="22"/>
      <c r="J13" s="102">
        <f>SUM(D87:J87)</f>
        <v>104.19447662499996</v>
      </c>
      <c r="K13" s="50" t="str">
        <f>"=Sum{ "&amp;A87&amp;" }"</f>
        <v>=Sum{ [38] }</v>
      </c>
    </row>
    <row r="14" spans="1:11" ht="15.75">
      <c r="A14" s="1"/>
      <c r="B14" s="35" t="str">
        <f>"["&amp;TEXT(VALUE(MID(B13,2,LEN(B13)-2))+1,"#")&amp;"]"</f>
        <v>[8]</v>
      </c>
      <c r="C14" s="28" t="s">
        <v>38</v>
      </c>
      <c r="D14" s="22"/>
      <c r="E14" s="14">
        <f>SUMPRODUCT($C26:$C45,H26:H45)</f>
        <v>93.05382499999996</v>
      </c>
      <c r="F14" s="50" t="str">
        <f>"=E{ "&amp;H18&amp;" }"</f>
        <v>=E{ [21] }</v>
      </c>
      <c r="G14" s="106" t="str">
        <f>"["&amp;TEXT(VALUE(MID(G13,2,LEN(G13)-2))+1,"#")&amp;"]"</f>
        <v>[13]</v>
      </c>
      <c r="H14" s="111" t="s">
        <v>8</v>
      </c>
      <c r="I14" s="111"/>
      <c r="J14" s="107">
        <f>J13/H5+H8</f>
        <v>0.0789429101736111</v>
      </c>
      <c r="K14" s="112" t="str">
        <f>"="&amp;G13&amp;" / "&amp;E5&amp;" + "&amp;E8</f>
        <v>=[12] / [1] + [4]</v>
      </c>
    </row>
    <row r="15" spans="1:11" ht="16.5" thickBot="1">
      <c r="A15" s="1"/>
      <c r="B15" s="108" t="str">
        <f>"["&amp;TEXT(VALUE(MID(B14,2,LEN(B14)-2))+1,"#")&amp;"]"</f>
        <v>[9]</v>
      </c>
      <c r="C15" s="113" t="s">
        <v>65</v>
      </c>
      <c r="D15" s="113"/>
      <c r="E15" s="109">
        <f>E14/H5</f>
        <v>0.025848284722222212</v>
      </c>
      <c r="F15" s="114" t="str">
        <f>"="&amp;B14&amp;" / "&amp;E5</f>
        <v>=[8] / [1]</v>
      </c>
      <c r="G15" s="108" t="str">
        <f>"["&amp;TEXT(VALUE(MID(G14,2,LEN(G14)-2))+1,"#")&amp;"]"</f>
        <v>[14]</v>
      </c>
      <c r="H15" s="113" t="s">
        <v>52</v>
      </c>
      <c r="I15" s="113"/>
      <c r="J15" s="109">
        <f>J14-E15-H8</f>
        <v>0.0030946254513888882</v>
      </c>
      <c r="K15" s="114" t="str">
        <f>"="&amp;G14&amp;" - "&amp;B15&amp;" - "&amp;E8</f>
        <v>=[13] - [9] - [4]</v>
      </c>
    </row>
    <row r="16" spans="1:8" ht="16.5" thickTop="1">
      <c r="A16" s="1"/>
      <c r="H16" s="41"/>
    </row>
    <row r="17" ht="12.75">
      <c r="A17" s="1"/>
    </row>
    <row r="18" spans="2:10" ht="15.75">
      <c r="B18" s="34" t="str">
        <f>"["&amp;TEXT(VALUE(MID(G15,2,LEN(G15)-2))+1,"#")&amp;"]"</f>
        <v>[15]</v>
      </c>
      <c r="C18" s="34" t="str">
        <f aca="true" t="shared" si="0" ref="C18:J18">"["&amp;TEXT(VALUE(MID(B18,2,LEN(B18)-2))+1,"#")&amp;"]"</f>
        <v>[16]</v>
      </c>
      <c r="D18" s="34" t="str">
        <f t="shared" si="0"/>
        <v>[17]</v>
      </c>
      <c r="E18" s="34" t="str">
        <f t="shared" si="0"/>
        <v>[18]</v>
      </c>
      <c r="F18" s="34" t="str">
        <f t="shared" si="0"/>
        <v>[19]</v>
      </c>
      <c r="G18" s="34" t="str">
        <f t="shared" si="0"/>
        <v>[20]</v>
      </c>
      <c r="H18" s="34" t="str">
        <f t="shared" si="0"/>
        <v>[21]</v>
      </c>
      <c r="I18" s="34" t="str">
        <f t="shared" si="0"/>
        <v>[22]</v>
      </c>
      <c r="J18" s="34" t="str">
        <f t="shared" si="0"/>
        <v>[23]</v>
      </c>
    </row>
    <row r="19" spans="2:10" ht="12.75" customHeight="1">
      <c r="B19" s="34"/>
      <c r="C19" s="34"/>
      <c r="D19" s="34"/>
      <c r="E19" s="34"/>
      <c r="F19" s="34"/>
      <c r="G19" s="34"/>
      <c r="H19" s="34"/>
      <c r="I19" s="34"/>
      <c r="J19" s="34"/>
    </row>
    <row r="20" spans="2:10" ht="12.75">
      <c r="B20" s="31"/>
      <c r="C20" s="31"/>
      <c r="D20" s="31"/>
      <c r="E20" s="31"/>
      <c r="F20" s="31"/>
      <c r="G20" s="31" t="s">
        <v>43</v>
      </c>
      <c r="H20" s="31"/>
      <c r="I20" s="31"/>
      <c r="J20" s="30"/>
    </row>
    <row r="21" spans="2:10" ht="12.75">
      <c r="B21" s="31"/>
      <c r="C21" s="38"/>
      <c r="D21" s="31"/>
      <c r="E21" s="31"/>
      <c r="F21" s="31"/>
      <c r="G21" s="31" t="s">
        <v>28</v>
      </c>
      <c r="H21" s="31"/>
      <c r="I21" s="31"/>
      <c r="J21" s="31"/>
    </row>
    <row r="22" spans="2:10" ht="12.75">
      <c r="B22" s="39" t="s">
        <v>68</v>
      </c>
      <c r="C22" s="39" t="s">
        <v>3</v>
      </c>
      <c r="D22" s="39" t="s">
        <v>4</v>
      </c>
      <c r="E22" s="39" t="s">
        <v>24</v>
      </c>
      <c r="F22" s="39" t="s">
        <v>5</v>
      </c>
      <c r="G22" s="31" t="s">
        <v>29</v>
      </c>
      <c r="H22" s="39" t="s">
        <v>6</v>
      </c>
      <c r="I22" s="39" t="s">
        <v>16</v>
      </c>
      <c r="J22" s="39" t="s">
        <v>17</v>
      </c>
    </row>
    <row r="23" spans="3:10" ht="12.75">
      <c r="C23" s="85" t="s">
        <v>41</v>
      </c>
      <c r="D23" s="42" t="s">
        <v>36</v>
      </c>
      <c r="E23" s="85" t="s">
        <v>41</v>
      </c>
      <c r="F23" s="42" t="str">
        <f>"="&amp;E7&amp;" * "&amp;E18</f>
        <v>=[3] * [18]</v>
      </c>
      <c r="G23" s="42" t="str">
        <f>"="&amp;B11&amp;" + "&amp;B12</f>
        <v>=[5] + [6]</v>
      </c>
      <c r="H23" s="42" t="s">
        <v>42</v>
      </c>
      <c r="I23" s="42" t="str">
        <f>"="&amp;B13&amp;" * (1.00 + "&amp;E8&amp;" )"</f>
        <v>=[7] * (1.00 + [4] )</v>
      </c>
      <c r="J23" s="42" t="str">
        <f>"="&amp;H18&amp;" / "&amp;E5</f>
        <v>=[21] / [1]</v>
      </c>
    </row>
    <row r="24" spans="4:10" ht="12.75">
      <c r="D24" s="42" t="str">
        <f>"of "&amp;C18</f>
        <v>of [16]</v>
      </c>
      <c r="E24" s="82"/>
      <c r="F24" s="82"/>
      <c r="G24" s="82"/>
      <c r="H24" s="42" t="str">
        <f>F18&amp;" - "&amp;G18&amp;" )"</f>
        <v>[19] - [20] )</v>
      </c>
      <c r="I24" s="85" t="str">
        <f>"- "&amp;F18</f>
        <v>- [19]</v>
      </c>
      <c r="J24" s="82"/>
    </row>
    <row r="25" ht="13.5" thickBot="1"/>
    <row r="26" spans="2:10" ht="12.75">
      <c r="B26" s="30">
        <v>1</v>
      </c>
      <c r="C26" s="88">
        <v>0.02</v>
      </c>
      <c r="D26" s="3">
        <f aca="true" t="shared" si="1" ref="D26:D45">C26+D25</f>
        <v>0.02</v>
      </c>
      <c r="E26" s="88">
        <v>0.35</v>
      </c>
      <c r="F26" s="91">
        <f aca="true" t="shared" si="2" ref="F26:F45">E26*$H$7</f>
        <v>350</v>
      </c>
      <c r="G26" s="91">
        <f>(1+H$6)*E$12</f>
        <v>776.4872500000001</v>
      </c>
      <c r="H26" s="91">
        <f aca="true" t="shared" si="3" ref="H26:H45">MAX(F26-G26,0)</f>
        <v>0</v>
      </c>
      <c r="I26" s="91">
        <f>$E$13*(1+$H$8)-F26</f>
        <v>4245.311612500001</v>
      </c>
      <c r="J26" s="92">
        <f aca="true" t="shared" si="4" ref="J26:J45">H26/H$5</f>
        <v>0</v>
      </c>
    </row>
    <row r="27" spans="2:10" ht="12.75">
      <c r="B27" s="30">
        <v>2</v>
      </c>
      <c r="C27" s="89">
        <v>0.04</v>
      </c>
      <c r="D27" s="3">
        <f t="shared" si="1"/>
        <v>0.06</v>
      </c>
      <c r="E27" s="89">
        <v>0.4</v>
      </c>
      <c r="F27" s="91">
        <f t="shared" si="2"/>
        <v>400</v>
      </c>
      <c r="G27" s="91">
        <f aca="true" t="shared" si="5" ref="G27:G45">G26</f>
        <v>776.4872500000001</v>
      </c>
      <c r="H27" s="91">
        <f t="shared" si="3"/>
        <v>0</v>
      </c>
      <c r="I27" s="91">
        <f aca="true" t="shared" si="6" ref="I27:I45">$E$13*(1+$H$8)-F27</f>
        <v>4195.311612500001</v>
      </c>
      <c r="J27" s="92">
        <f t="shared" si="4"/>
        <v>0</v>
      </c>
    </row>
    <row r="28" spans="2:10" ht="12.75">
      <c r="B28" s="30">
        <v>3</v>
      </c>
      <c r="C28" s="89">
        <v>0.06</v>
      </c>
      <c r="D28" s="3">
        <f t="shared" si="1"/>
        <v>0.12</v>
      </c>
      <c r="E28" s="89">
        <v>0.45</v>
      </c>
      <c r="F28" s="91">
        <f t="shared" si="2"/>
        <v>450</v>
      </c>
      <c r="G28" s="91">
        <f t="shared" si="5"/>
        <v>776.4872500000001</v>
      </c>
      <c r="H28" s="91">
        <f t="shared" si="3"/>
        <v>0</v>
      </c>
      <c r="I28" s="91">
        <f t="shared" si="6"/>
        <v>4145.311612500001</v>
      </c>
      <c r="J28" s="92">
        <f t="shared" si="4"/>
        <v>0</v>
      </c>
    </row>
    <row r="29" spans="2:10" ht="12.75">
      <c r="B29" s="30">
        <v>4</v>
      </c>
      <c r="C29" s="89">
        <v>0.1</v>
      </c>
      <c r="D29" s="3">
        <f t="shared" si="1"/>
        <v>0.22</v>
      </c>
      <c r="E29" s="89">
        <v>0.5</v>
      </c>
      <c r="F29" s="91">
        <f t="shared" si="2"/>
        <v>500</v>
      </c>
      <c r="G29" s="91">
        <f t="shared" si="5"/>
        <v>776.4872500000001</v>
      </c>
      <c r="H29" s="91">
        <f t="shared" si="3"/>
        <v>0</v>
      </c>
      <c r="I29" s="91">
        <f t="shared" si="6"/>
        <v>4095.3116125000006</v>
      </c>
      <c r="J29" s="92">
        <f t="shared" si="4"/>
        <v>0</v>
      </c>
    </row>
    <row r="30" spans="2:10" ht="12.75">
      <c r="B30" s="30">
        <v>5</v>
      </c>
      <c r="C30" s="89">
        <v>0.11</v>
      </c>
      <c r="D30" s="3">
        <f t="shared" si="1"/>
        <v>0.33</v>
      </c>
      <c r="E30" s="89">
        <v>0.55</v>
      </c>
      <c r="F30" s="91">
        <f t="shared" si="2"/>
        <v>550</v>
      </c>
      <c r="G30" s="91">
        <f t="shared" si="5"/>
        <v>776.4872500000001</v>
      </c>
      <c r="H30" s="91">
        <f t="shared" si="3"/>
        <v>0</v>
      </c>
      <c r="I30" s="91">
        <f t="shared" si="6"/>
        <v>4045.3116125000006</v>
      </c>
      <c r="J30" s="92">
        <f t="shared" si="4"/>
        <v>0</v>
      </c>
    </row>
    <row r="31" spans="2:10" ht="12.75">
      <c r="B31" s="30">
        <v>6</v>
      </c>
      <c r="C31" s="89">
        <v>0.12</v>
      </c>
      <c r="D31" s="3">
        <f t="shared" si="1"/>
        <v>0.45</v>
      </c>
      <c r="E31" s="89">
        <v>0.6</v>
      </c>
      <c r="F31" s="91">
        <f t="shared" si="2"/>
        <v>600</v>
      </c>
      <c r="G31" s="91">
        <f t="shared" si="5"/>
        <v>776.4872500000001</v>
      </c>
      <c r="H31" s="91">
        <f t="shared" si="3"/>
        <v>0</v>
      </c>
      <c r="I31" s="91">
        <f t="shared" si="6"/>
        <v>3995.3116125000006</v>
      </c>
      <c r="J31" s="92">
        <f t="shared" si="4"/>
        <v>0</v>
      </c>
    </row>
    <row r="32" spans="2:10" ht="12.75">
      <c r="B32" s="30">
        <v>7</v>
      </c>
      <c r="C32" s="89">
        <v>0.1</v>
      </c>
      <c r="D32" s="3">
        <f t="shared" si="1"/>
        <v>0.55</v>
      </c>
      <c r="E32" s="89">
        <v>0.65</v>
      </c>
      <c r="F32" s="91">
        <f t="shared" si="2"/>
        <v>650</v>
      </c>
      <c r="G32" s="91">
        <f t="shared" si="5"/>
        <v>776.4872500000001</v>
      </c>
      <c r="H32" s="91">
        <f t="shared" si="3"/>
        <v>0</v>
      </c>
      <c r="I32" s="91">
        <f t="shared" si="6"/>
        <v>3945.3116125000006</v>
      </c>
      <c r="J32" s="92">
        <f t="shared" si="4"/>
        <v>0</v>
      </c>
    </row>
    <row r="33" spans="2:10" ht="12.75">
      <c r="B33" s="30">
        <v>8</v>
      </c>
      <c r="C33" s="89">
        <v>0.09</v>
      </c>
      <c r="D33" s="3">
        <f t="shared" si="1"/>
        <v>0.64</v>
      </c>
      <c r="E33" s="89">
        <v>0.7</v>
      </c>
      <c r="F33" s="91">
        <f t="shared" si="2"/>
        <v>700</v>
      </c>
      <c r="G33" s="91">
        <f t="shared" si="5"/>
        <v>776.4872500000001</v>
      </c>
      <c r="H33" s="91">
        <f t="shared" si="3"/>
        <v>0</v>
      </c>
      <c r="I33" s="91">
        <f t="shared" si="6"/>
        <v>3895.3116125000006</v>
      </c>
      <c r="J33" s="92">
        <f t="shared" si="4"/>
        <v>0</v>
      </c>
    </row>
    <row r="34" spans="2:10" ht="12.75">
      <c r="B34" s="30">
        <v>9</v>
      </c>
      <c r="C34" s="89">
        <v>0.06</v>
      </c>
      <c r="D34" s="3">
        <f t="shared" si="1"/>
        <v>0.7</v>
      </c>
      <c r="E34" s="89">
        <v>0.75</v>
      </c>
      <c r="F34" s="91">
        <f t="shared" si="2"/>
        <v>750</v>
      </c>
      <c r="G34" s="91">
        <f t="shared" si="5"/>
        <v>776.4872500000001</v>
      </c>
      <c r="H34" s="91">
        <f t="shared" si="3"/>
        <v>0</v>
      </c>
      <c r="I34" s="91">
        <f t="shared" si="6"/>
        <v>3845.3116125000006</v>
      </c>
      <c r="J34" s="92">
        <f t="shared" si="4"/>
        <v>0</v>
      </c>
    </row>
    <row r="35" spans="2:10" ht="12.75">
      <c r="B35" s="30">
        <v>10</v>
      </c>
      <c r="C35" s="89">
        <v>0.05</v>
      </c>
      <c r="D35" s="3">
        <f t="shared" si="1"/>
        <v>0.75</v>
      </c>
      <c r="E35" s="89">
        <v>0.8</v>
      </c>
      <c r="F35" s="91">
        <f t="shared" si="2"/>
        <v>800</v>
      </c>
      <c r="G35" s="91">
        <f t="shared" si="5"/>
        <v>776.4872500000001</v>
      </c>
      <c r="H35" s="91">
        <f t="shared" si="3"/>
        <v>23.51274999999987</v>
      </c>
      <c r="I35" s="91">
        <f t="shared" si="6"/>
        <v>3795.3116125000006</v>
      </c>
      <c r="J35" s="92">
        <f t="shared" si="4"/>
        <v>0.006531319444444408</v>
      </c>
    </row>
    <row r="36" spans="2:10" ht="12.75">
      <c r="B36" s="30">
        <v>11</v>
      </c>
      <c r="C36" s="89">
        <v>0.04</v>
      </c>
      <c r="D36" s="3">
        <f t="shared" si="1"/>
        <v>0.79</v>
      </c>
      <c r="E36" s="89">
        <v>0.85</v>
      </c>
      <c r="F36" s="91">
        <f t="shared" si="2"/>
        <v>850</v>
      </c>
      <c r="G36" s="91">
        <f t="shared" si="5"/>
        <v>776.4872500000001</v>
      </c>
      <c r="H36" s="91">
        <f t="shared" si="3"/>
        <v>73.51274999999987</v>
      </c>
      <c r="I36" s="91">
        <f t="shared" si="6"/>
        <v>3745.3116125000006</v>
      </c>
      <c r="J36" s="92">
        <f t="shared" si="4"/>
        <v>0.020420208333333297</v>
      </c>
    </row>
    <row r="37" spans="2:10" ht="12.75">
      <c r="B37" s="30">
        <v>12</v>
      </c>
      <c r="C37" s="89">
        <v>0.04</v>
      </c>
      <c r="D37" s="3">
        <f t="shared" si="1"/>
        <v>0.8300000000000001</v>
      </c>
      <c r="E37" s="89">
        <v>0.9</v>
      </c>
      <c r="F37" s="91">
        <f t="shared" si="2"/>
        <v>900</v>
      </c>
      <c r="G37" s="91">
        <f t="shared" si="5"/>
        <v>776.4872500000001</v>
      </c>
      <c r="H37" s="91">
        <f t="shared" si="3"/>
        <v>123.51274999999987</v>
      </c>
      <c r="I37" s="91">
        <f t="shared" si="6"/>
        <v>3695.3116125000006</v>
      </c>
      <c r="J37" s="92">
        <f t="shared" si="4"/>
        <v>0.03430909722222219</v>
      </c>
    </row>
    <row r="38" spans="2:10" ht="12.75">
      <c r="B38" s="30">
        <v>13</v>
      </c>
      <c r="C38" s="89">
        <v>0.03</v>
      </c>
      <c r="D38" s="3">
        <f t="shared" si="1"/>
        <v>0.8600000000000001</v>
      </c>
      <c r="E38" s="104">
        <v>1</v>
      </c>
      <c r="F38" s="91">
        <f t="shared" si="2"/>
        <v>1000</v>
      </c>
      <c r="G38" s="91">
        <f t="shared" si="5"/>
        <v>776.4872500000001</v>
      </c>
      <c r="H38" s="91">
        <f t="shared" si="3"/>
        <v>223.51274999999987</v>
      </c>
      <c r="I38" s="91">
        <f t="shared" si="6"/>
        <v>3595.3116125000006</v>
      </c>
      <c r="J38" s="92">
        <f t="shared" si="4"/>
        <v>0.062086874999999965</v>
      </c>
    </row>
    <row r="39" spans="2:10" ht="12.75">
      <c r="B39" s="30">
        <v>14</v>
      </c>
      <c r="C39" s="89">
        <v>0.03</v>
      </c>
      <c r="D39" s="3">
        <f t="shared" si="1"/>
        <v>0.8900000000000001</v>
      </c>
      <c r="E39" s="104">
        <v>1.1</v>
      </c>
      <c r="F39" s="91">
        <f t="shared" si="2"/>
        <v>1100</v>
      </c>
      <c r="G39" s="91">
        <f t="shared" si="5"/>
        <v>776.4872500000001</v>
      </c>
      <c r="H39" s="91">
        <f t="shared" si="3"/>
        <v>323.51274999999987</v>
      </c>
      <c r="I39" s="91">
        <f t="shared" si="6"/>
        <v>3495.3116125000006</v>
      </c>
      <c r="J39" s="92">
        <f t="shared" si="4"/>
        <v>0.08986465277777775</v>
      </c>
    </row>
    <row r="40" spans="2:10" ht="12.75">
      <c r="B40" s="30">
        <v>15</v>
      </c>
      <c r="C40" s="89">
        <v>0.03</v>
      </c>
      <c r="D40" s="3">
        <f t="shared" si="1"/>
        <v>0.9200000000000002</v>
      </c>
      <c r="E40" s="104">
        <v>1.2</v>
      </c>
      <c r="F40" s="91">
        <f t="shared" si="2"/>
        <v>1200</v>
      </c>
      <c r="G40" s="91">
        <f t="shared" si="5"/>
        <v>776.4872500000001</v>
      </c>
      <c r="H40" s="91">
        <f t="shared" si="3"/>
        <v>423.51274999999987</v>
      </c>
      <c r="I40" s="91">
        <f t="shared" si="6"/>
        <v>3395.3116125000006</v>
      </c>
      <c r="J40" s="92">
        <f t="shared" si="4"/>
        <v>0.11764243055555552</v>
      </c>
    </row>
    <row r="41" spans="2:10" ht="12.75">
      <c r="B41" s="30">
        <v>16</v>
      </c>
      <c r="C41" s="89">
        <v>0.02</v>
      </c>
      <c r="D41" s="3">
        <f t="shared" si="1"/>
        <v>0.9400000000000002</v>
      </c>
      <c r="E41" s="104">
        <v>1.3</v>
      </c>
      <c r="F41" s="91">
        <f t="shared" si="2"/>
        <v>1300</v>
      </c>
      <c r="G41" s="91">
        <f t="shared" si="5"/>
        <v>776.4872500000001</v>
      </c>
      <c r="H41" s="91">
        <f t="shared" si="3"/>
        <v>523.5127499999999</v>
      </c>
      <c r="I41" s="91">
        <f t="shared" si="6"/>
        <v>3295.3116125000006</v>
      </c>
      <c r="J41" s="92">
        <f t="shared" si="4"/>
        <v>0.1454202083333333</v>
      </c>
    </row>
    <row r="42" spans="2:10" ht="12.75">
      <c r="B42" s="30">
        <v>17</v>
      </c>
      <c r="C42" s="89">
        <v>0.02</v>
      </c>
      <c r="D42" s="3">
        <f t="shared" si="1"/>
        <v>0.9600000000000002</v>
      </c>
      <c r="E42" s="104">
        <v>1.4</v>
      </c>
      <c r="F42" s="91">
        <f t="shared" si="2"/>
        <v>1400</v>
      </c>
      <c r="G42" s="91">
        <f t="shared" si="5"/>
        <v>776.4872500000001</v>
      </c>
      <c r="H42" s="91">
        <f t="shared" si="3"/>
        <v>623.5127499999999</v>
      </c>
      <c r="I42" s="91">
        <f t="shared" si="6"/>
        <v>3195.3116125000006</v>
      </c>
      <c r="J42" s="92">
        <f t="shared" si="4"/>
        <v>0.17319798611111106</v>
      </c>
    </row>
    <row r="43" spans="2:10" ht="12.75">
      <c r="B43" s="30">
        <v>18</v>
      </c>
      <c r="C43" s="89">
        <v>0.02</v>
      </c>
      <c r="D43" s="3">
        <f t="shared" si="1"/>
        <v>0.9800000000000002</v>
      </c>
      <c r="E43" s="104">
        <v>1.5</v>
      </c>
      <c r="F43" s="91">
        <f t="shared" si="2"/>
        <v>1500</v>
      </c>
      <c r="G43" s="91">
        <f t="shared" si="5"/>
        <v>776.4872500000001</v>
      </c>
      <c r="H43" s="91">
        <f t="shared" si="3"/>
        <v>723.5127499999999</v>
      </c>
      <c r="I43" s="91">
        <f t="shared" si="6"/>
        <v>3095.3116125000006</v>
      </c>
      <c r="J43" s="92">
        <f t="shared" si="4"/>
        <v>0.20097576388888885</v>
      </c>
    </row>
    <row r="44" spans="2:10" ht="12.75">
      <c r="B44" s="30">
        <v>19</v>
      </c>
      <c r="C44" s="89">
        <v>0.01</v>
      </c>
      <c r="D44" s="3">
        <f t="shared" si="1"/>
        <v>0.9900000000000002</v>
      </c>
      <c r="E44" s="104">
        <v>1.6</v>
      </c>
      <c r="F44" s="91">
        <f t="shared" si="2"/>
        <v>1600</v>
      </c>
      <c r="G44" s="91">
        <f t="shared" si="5"/>
        <v>776.4872500000001</v>
      </c>
      <c r="H44" s="91">
        <f t="shared" si="3"/>
        <v>823.5127499999999</v>
      </c>
      <c r="I44" s="91">
        <f t="shared" si="6"/>
        <v>2995.3116125000006</v>
      </c>
      <c r="J44" s="92">
        <f t="shared" si="4"/>
        <v>0.22875354166666664</v>
      </c>
    </row>
    <row r="45" spans="2:10" ht="13.5" thickBot="1">
      <c r="B45" s="37">
        <v>20</v>
      </c>
      <c r="C45" s="90">
        <v>0.01</v>
      </c>
      <c r="D45" s="3">
        <f t="shared" si="1"/>
        <v>1.0000000000000002</v>
      </c>
      <c r="E45" s="105">
        <v>1.7</v>
      </c>
      <c r="F45" s="91">
        <f t="shared" si="2"/>
        <v>1700</v>
      </c>
      <c r="G45" s="91">
        <f t="shared" si="5"/>
        <v>776.4872500000001</v>
      </c>
      <c r="H45" s="91">
        <f t="shared" si="3"/>
        <v>923.5127499999999</v>
      </c>
      <c r="I45" s="91">
        <f t="shared" si="6"/>
        <v>2895.3116125000006</v>
      </c>
      <c r="J45" s="92">
        <f t="shared" si="4"/>
        <v>0.2565313194444444</v>
      </c>
    </row>
    <row r="46" spans="1:9" ht="12.75">
      <c r="A46" s="37"/>
      <c r="B46" s="2"/>
      <c r="C46" s="3"/>
      <c r="D46" s="2"/>
      <c r="E46" s="4"/>
      <c r="F46" s="15"/>
      <c r="G46" s="4"/>
      <c r="H46" s="4"/>
      <c r="I46" s="7"/>
    </row>
    <row r="47" spans="1:12" ht="26.25">
      <c r="A47" s="43" t="str">
        <f>A1</f>
        <v>Exhibit 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26.25">
      <c r="A48" s="45" t="str">
        <f>A2</f>
        <v>CASE 2 -- More Skewed Loss Distribution, Same CS and Risk Load %</v>
      </c>
      <c r="B48" s="44"/>
      <c r="C48" s="44"/>
      <c r="D48" s="44"/>
      <c r="E48" s="44"/>
      <c r="F48" s="45"/>
      <c r="G48" s="44"/>
      <c r="H48" s="44"/>
      <c r="I48" s="44"/>
      <c r="J48" s="44"/>
      <c r="K48" s="44"/>
      <c r="L48" s="44"/>
    </row>
    <row r="49" spans="6:9" ht="13.5" thickBot="1">
      <c r="F49" s="5"/>
      <c r="I49" s="9"/>
    </row>
    <row r="50" spans="2:10" ht="20.25" thickBot="1" thickTop="1">
      <c r="B50" s="20"/>
      <c r="C50" s="21"/>
      <c r="D50" s="67"/>
      <c r="E50" s="67"/>
      <c r="F50" s="29" t="s">
        <v>23</v>
      </c>
      <c r="G50" s="67"/>
      <c r="H50" s="67"/>
      <c r="I50" s="67"/>
      <c r="J50" s="68"/>
    </row>
    <row r="51" spans="2:10" ht="13.5" thickBot="1">
      <c r="B51" s="69"/>
      <c r="C51" s="127" t="s">
        <v>67</v>
      </c>
      <c r="D51" s="128">
        <v>1</v>
      </c>
      <c r="E51" s="128">
        <v>2</v>
      </c>
      <c r="F51" s="128">
        <v>3</v>
      </c>
      <c r="G51" s="128">
        <v>4</v>
      </c>
      <c r="H51" s="128">
        <v>5</v>
      </c>
      <c r="I51" s="128">
        <v>6</v>
      </c>
      <c r="J51" s="129">
        <v>7</v>
      </c>
    </row>
    <row r="52" spans="2:11" ht="16.5" thickTop="1">
      <c r="B52" s="70" t="str">
        <f>"["&amp;TEXT(VALUE(MID(J18,2,LEN(J18)-2))+1,"#")&amp;"]"</f>
        <v>[24]</v>
      </c>
      <c r="C52" s="71" t="s">
        <v>0</v>
      </c>
      <c r="D52" s="11">
        <v>0.25</v>
      </c>
      <c r="E52" s="12">
        <v>0.25</v>
      </c>
      <c r="F52" s="12">
        <v>0.25</v>
      </c>
      <c r="G52" s="12">
        <v>0.25</v>
      </c>
      <c r="H52" s="12">
        <v>1</v>
      </c>
      <c r="I52" s="12">
        <v>2</v>
      </c>
      <c r="J52" s="75">
        <v>999.99</v>
      </c>
      <c r="K52" s="83" t="s">
        <v>41</v>
      </c>
    </row>
    <row r="53" spans="2:11" ht="16.5" thickBot="1">
      <c r="B53" s="65" t="str">
        <f>"["&amp;TEXT(VALUE(MID(B52,2,LEN(B52)-2))+1,"#")&amp;"]"</f>
        <v>[25]</v>
      </c>
      <c r="C53" s="72" t="s">
        <v>1</v>
      </c>
      <c r="D53" s="76">
        <v>0</v>
      </c>
      <c r="E53" s="73">
        <v>0.25</v>
      </c>
      <c r="F53" s="73">
        <v>0.5</v>
      </c>
      <c r="G53" s="73">
        <v>0.75</v>
      </c>
      <c r="H53" s="73">
        <v>1</v>
      </c>
      <c r="I53" s="73">
        <v>2</v>
      </c>
      <c r="J53" s="74">
        <v>4</v>
      </c>
      <c r="K53" s="86" t="s">
        <v>41</v>
      </c>
    </row>
    <row r="54" ht="13.5" thickTop="1"/>
    <row r="55" spans="2:10" s="103" customFormat="1" ht="15.75">
      <c r="B55" s="34" t="str">
        <f>B18</f>
        <v>[15]</v>
      </c>
      <c r="D55" s="34" t="str">
        <f>"["&amp;TEXT(VALUE(MID(B53,2,LEN(B53)-2))+1,"#")&amp;"]"</f>
        <v>[26]</v>
      </c>
      <c r="E55" s="34" t="str">
        <f aca="true" t="shared" si="7" ref="E55:J55">"["&amp;TEXT(VALUE(MID(D55,2,LEN(D55)-2))+1,"#")&amp;"]"</f>
        <v>[27]</v>
      </c>
      <c r="F55" s="34" t="str">
        <f t="shared" si="7"/>
        <v>[28]</v>
      </c>
      <c r="G55" s="34" t="str">
        <f t="shared" si="7"/>
        <v>[29]</v>
      </c>
      <c r="H55" s="34" t="str">
        <f t="shared" si="7"/>
        <v>[30]</v>
      </c>
      <c r="I55" s="34" t="str">
        <f t="shared" si="7"/>
        <v>[31]</v>
      </c>
      <c r="J55" s="34" t="str">
        <f t="shared" si="7"/>
        <v>[32]</v>
      </c>
    </row>
    <row r="56" ht="13.5" thickBot="1"/>
    <row r="57" spans="4:11" ht="13.5" thickTop="1">
      <c r="D57" s="10" t="s">
        <v>9</v>
      </c>
      <c r="E57" s="10" t="s">
        <v>10</v>
      </c>
      <c r="F57" s="10" t="s">
        <v>11</v>
      </c>
      <c r="G57" s="10" t="s">
        <v>12</v>
      </c>
      <c r="H57" s="10" t="s">
        <v>13</v>
      </c>
      <c r="I57" s="10" t="s">
        <v>14</v>
      </c>
      <c r="J57" s="10" t="s">
        <v>15</v>
      </c>
      <c r="K57" s="83" t="s">
        <v>44</v>
      </c>
    </row>
    <row r="58" spans="2:11" ht="12.75">
      <c r="B58" s="39" t="s">
        <v>68</v>
      </c>
      <c r="D58" s="10" t="s">
        <v>6</v>
      </c>
      <c r="E58" s="10" t="s">
        <v>6</v>
      </c>
      <c r="F58" s="10" t="s">
        <v>6</v>
      </c>
      <c r="G58" s="10" t="s">
        <v>6</v>
      </c>
      <c r="H58" s="10" t="s">
        <v>6</v>
      </c>
      <c r="I58" s="10" t="s">
        <v>6</v>
      </c>
      <c r="J58" s="10" t="s">
        <v>6</v>
      </c>
      <c r="K58" s="84" t="str">
        <f>"MAX( 0, MIN( "&amp;H18&amp;" -"</f>
        <v>MAX( 0, MIN( [21] -</v>
      </c>
    </row>
    <row r="59" spans="8:11" ht="13.5" thickBot="1">
      <c r="H59" s="6"/>
      <c r="I59" s="6"/>
      <c r="K59" s="81" t="str">
        <f>B53&amp;" * "&amp;E5&amp;", "&amp;B52&amp;" * "&amp;E5&amp;" ) )"</f>
        <v>[25] * [1], [24] * [1] ) )</v>
      </c>
    </row>
    <row r="60" spans="2:10" ht="13.5" thickTop="1">
      <c r="B60" s="30">
        <v>1</v>
      </c>
      <c r="D60" s="8">
        <f aca="true" t="shared" si="8" ref="D60:J69">MAX(0,MIN($H26-D$53*$H$5,D$52*$H$5))</f>
        <v>0</v>
      </c>
      <c r="E60" s="8">
        <f t="shared" si="8"/>
        <v>0</v>
      </c>
      <c r="F60" s="8">
        <f t="shared" si="8"/>
        <v>0</v>
      </c>
      <c r="G60" s="8">
        <f t="shared" si="8"/>
        <v>0</v>
      </c>
      <c r="H60" s="8">
        <f t="shared" si="8"/>
        <v>0</v>
      </c>
      <c r="I60" s="8">
        <f t="shared" si="8"/>
        <v>0</v>
      </c>
      <c r="J60" s="8">
        <f t="shared" si="8"/>
        <v>0</v>
      </c>
    </row>
    <row r="61" spans="2:10" ht="12.75">
      <c r="B61" s="30">
        <v>2</v>
      </c>
      <c r="D61" s="8">
        <f t="shared" si="8"/>
        <v>0</v>
      </c>
      <c r="E61" s="8">
        <f t="shared" si="8"/>
        <v>0</v>
      </c>
      <c r="F61" s="8">
        <f t="shared" si="8"/>
        <v>0</v>
      </c>
      <c r="G61" s="8">
        <f t="shared" si="8"/>
        <v>0</v>
      </c>
      <c r="H61" s="8">
        <f t="shared" si="8"/>
        <v>0</v>
      </c>
      <c r="I61" s="8">
        <f t="shared" si="8"/>
        <v>0</v>
      </c>
      <c r="J61" s="8">
        <f t="shared" si="8"/>
        <v>0</v>
      </c>
    </row>
    <row r="62" spans="2:11" ht="12.75">
      <c r="B62" s="30">
        <v>3</v>
      </c>
      <c r="D62" s="8">
        <f t="shared" si="8"/>
        <v>0</v>
      </c>
      <c r="E62" s="8">
        <f t="shared" si="8"/>
        <v>0</v>
      </c>
      <c r="F62" s="8">
        <f t="shared" si="8"/>
        <v>0</v>
      </c>
      <c r="G62" s="8">
        <f t="shared" si="8"/>
        <v>0</v>
      </c>
      <c r="H62" s="8">
        <f t="shared" si="8"/>
        <v>0</v>
      </c>
      <c r="I62" s="8">
        <f t="shared" si="8"/>
        <v>0</v>
      </c>
      <c r="J62" s="8">
        <f t="shared" si="8"/>
        <v>0</v>
      </c>
      <c r="K62" s="40"/>
    </row>
    <row r="63" spans="2:10" ht="12.75">
      <c r="B63" s="30">
        <v>4</v>
      </c>
      <c r="D63" s="8">
        <f t="shared" si="8"/>
        <v>0</v>
      </c>
      <c r="E63" s="8">
        <f t="shared" si="8"/>
        <v>0</v>
      </c>
      <c r="F63" s="8">
        <f t="shared" si="8"/>
        <v>0</v>
      </c>
      <c r="G63" s="8">
        <f t="shared" si="8"/>
        <v>0</v>
      </c>
      <c r="H63" s="8">
        <f t="shared" si="8"/>
        <v>0</v>
      </c>
      <c r="I63" s="8">
        <f t="shared" si="8"/>
        <v>0</v>
      </c>
      <c r="J63" s="8">
        <f t="shared" si="8"/>
        <v>0</v>
      </c>
    </row>
    <row r="64" spans="2:10" ht="12.75">
      <c r="B64" s="30">
        <v>5</v>
      </c>
      <c r="D64" s="8">
        <f t="shared" si="8"/>
        <v>0</v>
      </c>
      <c r="E64" s="8">
        <f t="shared" si="8"/>
        <v>0</v>
      </c>
      <c r="F64" s="8">
        <f t="shared" si="8"/>
        <v>0</v>
      </c>
      <c r="G64" s="8">
        <f t="shared" si="8"/>
        <v>0</v>
      </c>
      <c r="H64" s="8">
        <f t="shared" si="8"/>
        <v>0</v>
      </c>
      <c r="I64" s="8">
        <f t="shared" si="8"/>
        <v>0</v>
      </c>
      <c r="J64" s="8">
        <f t="shared" si="8"/>
        <v>0</v>
      </c>
    </row>
    <row r="65" spans="2:10" ht="12.75">
      <c r="B65" s="30">
        <v>6</v>
      </c>
      <c r="D65" s="8">
        <f t="shared" si="8"/>
        <v>0</v>
      </c>
      <c r="E65" s="8">
        <f t="shared" si="8"/>
        <v>0</v>
      </c>
      <c r="F65" s="8">
        <f t="shared" si="8"/>
        <v>0</v>
      </c>
      <c r="G65" s="8">
        <f t="shared" si="8"/>
        <v>0</v>
      </c>
      <c r="H65" s="8">
        <f t="shared" si="8"/>
        <v>0</v>
      </c>
      <c r="I65" s="8">
        <f t="shared" si="8"/>
        <v>0</v>
      </c>
      <c r="J65" s="8">
        <f t="shared" si="8"/>
        <v>0</v>
      </c>
    </row>
    <row r="66" spans="2:10" ht="12.75">
      <c r="B66" s="30">
        <v>7</v>
      </c>
      <c r="D66" s="8">
        <f t="shared" si="8"/>
        <v>0</v>
      </c>
      <c r="E66" s="8">
        <f t="shared" si="8"/>
        <v>0</v>
      </c>
      <c r="F66" s="8">
        <f t="shared" si="8"/>
        <v>0</v>
      </c>
      <c r="G66" s="8">
        <f t="shared" si="8"/>
        <v>0</v>
      </c>
      <c r="H66" s="8">
        <f t="shared" si="8"/>
        <v>0</v>
      </c>
      <c r="I66" s="8">
        <f t="shared" si="8"/>
        <v>0</v>
      </c>
      <c r="J66" s="8">
        <f t="shared" si="8"/>
        <v>0</v>
      </c>
    </row>
    <row r="67" spans="2:10" ht="12.75">
      <c r="B67" s="30">
        <v>8</v>
      </c>
      <c r="D67" s="8">
        <f t="shared" si="8"/>
        <v>0</v>
      </c>
      <c r="E67" s="8">
        <f t="shared" si="8"/>
        <v>0</v>
      </c>
      <c r="F67" s="8">
        <f t="shared" si="8"/>
        <v>0</v>
      </c>
      <c r="G67" s="8">
        <f t="shared" si="8"/>
        <v>0</v>
      </c>
      <c r="H67" s="8">
        <f t="shared" si="8"/>
        <v>0</v>
      </c>
      <c r="I67" s="8">
        <f t="shared" si="8"/>
        <v>0</v>
      </c>
      <c r="J67" s="8">
        <f t="shared" si="8"/>
        <v>0</v>
      </c>
    </row>
    <row r="68" spans="2:10" ht="12.75">
      <c r="B68" s="30">
        <v>9</v>
      </c>
      <c r="D68" s="8">
        <f t="shared" si="8"/>
        <v>0</v>
      </c>
      <c r="E68" s="8">
        <f t="shared" si="8"/>
        <v>0</v>
      </c>
      <c r="F68" s="8">
        <f t="shared" si="8"/>
        <v>0</v>
      </c>
      <c r="G68" s="8">
        <f t="shared" si="8"/>
        <v>0</v>
      </c>
      <c r="H68" s="8">
        <f t="shared" si="8"/>
        <v>0</v>
      </c>
      <c r="I68" s="8">
        <f t="shared" si="8"/>
        <v>0</v>
      </c>
      <c r="J68" s="8">
        <f t="shared" si="8"/>
        <v>0</v>
      </c>
    </row>
    <row r="69" spans="2:10" ht="12.75">
      <c r="B69" s="30">
        <v>10</v>
      </c>
      <c r="D69" s="8">
        <f t="shared" si="8"/>
        <v>23.51274999999987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</row>
    <row r="70" spans="2:10" ht="12.75">
      <c r="B70" s="30">
        <v>11</v>
      </c>
      <c r="D70" s="8">
        <f aca="true" t="shared" si="9" ref="D70:J79">MAX(0,MIN($H36-D$53*$H$5,D$52*$H$5))</f>
        <v>73.51274999999987</v>
      </c>
      <c r="E70" s="8">
        <f t="shared" si="9"/>
        <v>0</v>
      </c>
      <c r="F70" s="8">
        <f t="shared" si="9"/>
        <v>0</v>
      </c>
      <c r="G70" s="8">
        <f t="shared" si="9"/>
        <v>0</v>
      </c>
      <c r="H70" s="8">
        <f t="shared" si="9"/>
        <v>0</v>
      </c>
      <c r="I70" s="8">
        <f t="shared" si="9"/>
        <v>0</v>
      </c>
      <c r="J70" s="8">
        <f t="shared" si="9"/>
        <v>0</v>
      </c>
    </row>
    <row r="71" spans="2:10" ht="12.75">
      <c r="B71" s="30">
        <v>12</v>
      </c>
      <c r="D71" s="8">
        <f t="shared" si="9"/>
        <v>123.51274999999987</v>
      </c>
      <c r="E71" s="8">
        <f t="shared" si="9"/>
        <v>0</v>
      </c>
      <c r="F71" s="8">
        <f t="shared" si="9"/>
        <v>0</v>
      </c>
      <c r="G71" s="8">
        <f t="shared" si="9"/>
        <v>0</v>
      </c>
      <c r="H71" s="8">
        <f t="shared" si="9"/>
        <v>0</v>
      </c>
      <c r="I71" s="8">
        <f t="shared" si="9"/>
        <v>0</v>
      </c>
      <c r="J71" s="8">
        <f t="shared" si="9"/>
        <v>0</v>
      </c>
    </row>
    <row r="72" spans="2:10" ht="12.75">
      <c r="B72" s="30">
        <v>13</v>
      </c>
      <c r="D72" s="8">
        <f t="shared" si="9"/>
        <v>223.51274999999987</v>
      </c>
      <c r="E72" s="8">
        <f t="shared" si="9"/>
        <v>0</v>
      </c>
      <c r="F72" s="8">
        <f t="shared" si="9"/>
        <v>0</v>
      </c>
      <c r="G72" s="8">
        <f t="shared" si="9"/>
        <v>0</v>
      </c>
      <c r="H72" s="8">
        <f t="shared" si="9"/>
        <v>0</v>
      </c>
      <c r="I72" s="8">
        <f t="shared" si="9"/>
        <v>0</v>
      </c>
      <c r="J72" s="8">
        <f t="shared" si="9"/>
        <v>0</v>
      </c>
    </row>
    <row r="73" spans="2:10" ht="12.75">
      <c r="B73" s="30">
        <v>14</v>
      </c>
      <c r="D73" s="8">
        <f t="shared" si="9"/>
        <v>323.51274999999987</v>
      </c>
      <c r="E73" s="8">
        <f t="shared" si="9"/>
        <v>0</v>
      </c>
      <c r="F73" s="8">
        <f t="shared" si="9"/>
        <v>0</v>
      </c>
      <c r="G73" s="8">
        <f t="shared" si="9"/>
        <v>0</v>
      </c>
      <c r="H73" s="8">
        <f t="shared" si="9"/>
        <v>0</v>
      </c>
      <c r="I73" s="8">
        <f t="shared" si="9"/>
        <v>0</v>
      </c>
      <c r="J73" s="8">
        <f t="shared" si="9"/>
        <v>0</v>
      </c>
    </row>
    <row r="74" spans="2:10" ht="12.75">
      <c r="B74" s="30">
        <v>15</v>
      </c>
      <c r="D74" s="8">
        <f t="shared" si="9"/>
        <v>423.51274999999987</v>
      </c>
      <c r="E74" s="8">
        <f t="shared" si="9"/>
        <v>0</v>
      </c>
      <c r="F74" s="8">
        <f t="shared" si="9"/>
        <v>0</v>
      </c>
      <c r="G74" s="8">
        <f t="shared" si="9"/>
        <v>0</v>
      </c>
      <c r="H74" s="8">
        <f t="shared" si="9"/>
        <v>0</v>
      </c>
      <c r="I74" s="8">
        <f t="shared" si="9"/>
        <v>0</v>
      </c>
      <c r="J74" s="8">
        <f t="shared" si="9"/>
        <v>0</v>
      </c>
    </row>
    <row r="75" spans="2:10" ht="12.75">
      <c r="B75" s="30">
        <v>16</v>
      </c>
      <c r="D75" s="8">
        <f t="shared" si="9"/>
        <v>523.5127499999999</v>
      </c>
      <c r="E75" s="8">
        <f t="shared" si="9"/>
        <v>0</v>
      </c>
      <c r="F75" s="8">
        <f t="shared" si="9"/>
        <v>0</v>
      </c>
      <c r="G75" s="8">
        <f t="shared" si="9"/>
        <v>0</v>
      </c>
      <c r="H75" s="8">
        <f t="shared" si="9"/>
        <v>0</v>
      </c>
      <c r="I75" s="8">
        <f t="shared" si="9"/>
        <v>0</v>
      </c>
      <c r="J75" s="8">
        <f t="shared" si="9"/>
        <v>0</v>
      </c>
    </row>
    <row r="76" spans="2:10" ht="12.75">
      <c r="B76" s="30">
        <v>17</v>
      </c>
      <c r="D76" s="8">
        <f t="shared" si="9"/>
        <v>623.5127499999999</v>
      </c>
      <c r="E76" s="8">
        <f t="shared" si="9"/>
        <v>0</v>
      </c>
      <c r="F76" s="8">
        <f t="shared" si="9"/>
        <v>0</v>
      </c>
      <c r="G76" s="8">
        <f t="shared" si="9"/>
        <v>0</v>
      </c>
      <c r="H76" s="8">
        <f t="shared" si="9"/>
        <v>0</v>
      </c>
      <c r="I76" s="8">
        <f t="shared" si="9"/>
        <v>0</v>
      </c>
      <c r="J76" s="8">
        <f t="shared" si="9"/>
        <v>0</v>
      </c>
    </row>
    <row r="77" spans="2:10" ht="12.75">
      <c r="B77" s="30">
        <v>18</v>
      </c>
      <c r="D77" s="8">
        <f t="shared" si="9"/>
        <v>723.5127499999999</v>
      </c>
      <c r="E77" s="8">
        <f t="shared" si="9"/>
        <v>0</v>
      </c>
      <c r="F77" s="8">
        <f t="shared" si="9"/>
        <v>0</v>
      </c>
      <c r="G77" s="8">
        <f t="shared" si="9"/>
        <v>0</v>
      </c>
      <c r="H77" s="8">
        <f t="shared" si="9"/>
        <v>0</v>
      </c>
      <c r="I77" s="8">
        <f t="shared" si="9"/>
        <v>0</v>
      </c>
      <c r="J77" s="8">
        <f t="shared" si="9"/>
        <v>0</v>
      </c>
    </row>
    <row r="78" spans="2:10" ht="12.75">
      <c r="B78" s="30">
        <v>19</v>
      </c>
      <c r="D78" s="8">
        <f t="shared" si="9"/>
        <v>823.5127499999999</v>
      </c>
      <c r="E78" s="8">
        <f t="shared" si="9"/>
        <v>0</v>
      </c>
      <c r="F78" s="8">
        <f t="shared" si="9"/>
        <v>0</v>
      </c>
      <c r="G78" s="8">
        <f t="shared" si="9"/>
        <v>0</v>
      </c>
      <c r="H78" s="8">
        <f t="shared" si="9"/>
        <v>0</v>
      </c>
      <c r="I78" s="8">
        <f t="shared" si="9"/>
        <v>0</v>
      </c>
      <c r="J78" s="8">
        <f t="shared" si="9"/>
        <v>0</v>
      </c>
    </row>
    <row r="79" spans="2:10" ht="12.75">
      <c r="B79" s="37">
        <v>20</v>
      </c>
      <c r="D79" s="8">
        <f t="shared" si="9"/>
        <v>900</v>
      </c>
      <c r="E79" s="8">
        <f t="shared" si="9"/>
        <v>23.51274999999987</v>
      </c>
      <c r="F79" s="8">
        <f t="shared" si="9"/>
        <v>0</v>
      </c>
      <c r="G79" s="8">
        <f t="shared" si="9"/>
        <v>0</v>
      </c>
      <c r="H79" s="8">
        <f t="shared" si="9"/>
        <v>0</v>
      </c>
      <c r="I79" s="8">
        <f t="shared" si="9"/>
        <v>0</v>
      </c>
      <c r="J79" s="8">
        <f t="shared" si="9"/>
        <v>0</v>
      </c>
    </row>
    <row r="80" spans="4:10" ht="12.75">
      <c r="D80" s="8"/>
      <c r="E80" s="8"/>
      <c r="F80" s="8"/>
      <c r="G80" s="8"/>
      <c r="H80" s="8"/>
      <c r="I80" s="8"/>
      <c r="J80" s="8"/>
    </row>
    <row r="81" ht="13.5" thickBot="1"/>
    <row r="82" spans="1:11" ht="16.5" thickTop="1">
      <c r="A82" s="77" t="str">
        <f>"["&amp;TEXT(VALUE(MID(J55,2,LEN(J55)-2))+1,"#")&amp;"]"</f>
        <v>[33]</v>
      </c>
      <c r="B82" s="60" t="s">
        <v>40</v>
      </c>
      <c r="C82" s="21"/>
      <c r="D82" s="93">
        <f aca="true" t="shared" si="10" ref="D82:J82">SUMPRODUCT($C26:$C45,D60:D79)</f>
        <v>92.81869749999996</v>
      </c>
      <c r="E82" s="93">
        <f t="shared" si="10"/>
        <v>0.23512749999999868</v>
      </c>
      <c r="F82" s="93">
        <f t="shared" si="10"/>
        <v>0</v>
      </c>
      <c r="G82" s="93">
        <f t="shared" si="10"/>
        <v>0</v>
      </c>
      <c r="H82" s="93">
        <f t="shared" si="10"/>
        <v>0</v>
      </c>
      <c r="I82" s="93">
        <f t="shared" si="10"/>
        <v>0</v>
      </c>
      <c r="J82" s="94">
        <f t="shared" si="10"/>
        <v>0</v>
      </c>
      <c r="K82" s="49" t="s">
        <v>66</v>
      </c>
    </row>
    <row r="83" spans="1:11" ht="16.5" thickBot="1">
      <c r="A83" s="61" t="str">
        <f>"["&amp;TEXT(VALUE(MID(A82,2,LEN(A82)-2))+1,"#")&amp;"]"</f>
        <v>[34]</v>
      </c>
      <c r="B83" s="62" t="s">
        <v>25</v>
      </c>
      <c r="C83" s="22"/>
      <c r="D83" s="95">
        <f aca="true" t="shared" si="11" ref="D83:J83">D$82/$H$5/D$52</f>
        <v>0.10313188611111106</v>
      </c>
      <c r="E83" s="95">
        <f t="shared" si="11"/>
        <v>0.00026125277777777633</v>
      </c>
      <c r="F83" s="95">
        <f t="shared" si="11"/>
        <v>0</v>
      </c>
      <c r="G83" s="95">
        <f t="shared" si="11"/>
        <v>0</v>
      </c>
      <c r="H83" s="95">
        <f t="shared" si="11"/>
        <v>0</v>
      </c>
      <c r="I83" s="95">
        <f t="shared" si="11"/>
        <v>0</v>
      </c>
      <c r="J83" s="96">
        <f t="shared" si="11"/>
        <v>0</v>
      </c>
      <c r="K83" s="50" t="str">
        <f>"="&amp;A82&amp;" / "&amp;E5&amp;" / "&amp;B52</f>
        <v>=[33] / [1] / [24]</v>
      </c>
    </row>
    <row r="84" spans="1:11" ht="15.75">
      <c r="A84" s="61" t="str">
        <f>"["&amp;TEXT(VALUE(MID(A83,2,LEN(A83)-2))+1,"#")&amp;"]"</f>
        <v>[35]</v>
      </c>
      <c r="B84" s="63" t="s">
        <v>26</v>
      </c>
      <c r="C84" s="22"/>
      <c r="D84" s="18">
        <v>0.1</v>
      </c>
      <c r="E84" s="19">
        <v>0.25</v>
      </c>
      <c r="F84" s="19">
        <v>0.5</v>
      </c>
      <c r="G84" s="19">
        <v>0.75</v>
      </c>
      <c r="H84" s="19">
        <v>1</v>
      </c>
      <c r="I84" s="19">
        <v>2</v>
      </c>
      <c r="J84" s="78">
        <v>4</v>
      </c>
      <c r="K84" s="80" t="s">
        <v>41</v>
      </c>
    </row>
    <row r="85" spans="1:11" ht="16.5" thickBot="1">
      <c r="A85" s="61" t="str">
        <f>"["&amp;TEXT(VALUE(MID(A84,2,LEN(A84)-2))+1,"#")&amp;"]"</f>
        <v>[36]</v>
      </c>
      <c r="B85" s="63" t="s">
        <v>27</v>
      </c>
      <c r="C85" s="22"/>
      <c r="D85" s="16">
        <v>0.001</v>
      </c>
      <c r="E85" s="17">
        <v>0.001</v>
      </c>
      <c r="F85" s="17">
        <v>0.001</v>
      </c>
      <c r="G85" s="17">
        <v>0.001</v>
      </c>
      <c r="H85" s="17">
        <v>0.001</v>
      </c>
      <c r="I85" s="17">
        <v>0.001</v>
      </c>
      <c r="J85" s="79">
        <v>0.001</v>
      </c>
      <c r="K85" s="80" t="s">
        <v>41</v>
      </c>
    </row>
    <row r="86" spans="1:11" ht="15.75">
      <c r="A86" s="61" t="str">
        <f>"["&amp;TEXT(VALUE(MID(A85,2,LEN(A85)-2))+1,"#")&amp;"]"</f>
        <v>[37]</v>
      </c>
      <c r="B86" s="64" t="s">
        <v>34</v>
      </c>
      <c r="C86" s="22"/>
      <c r="D86" s="95">
        <f>IF(D83&gt;0,D85+(1+D84)*D83,0)</f>
        <v>0.11444507472222218</v>
      </c>
      <c r="E86" s="95">
        <f aca="true" t="shared" si="12" ref="E86:J86">IF(E83&gt;0,E85+(1+E84)*E83,0)</f>
        <v>0.0013265659722222203</v>
      </c>
      <c r="F86" s="95">
        <f t="shared" si="12"/>
        <v>0</v>
      </c>
      <c r="G86" s="95">
        <f t="shared" si="12"/>
        <v>0</v>
      </c>
      <c r="H86" s="95">
        <f t="shared" si="12"/>
        <v>0</v>
      </c>
      <c r="I86" s="95">
        <f t="shared" si="12"/>
        <v>0</v>
      </c>
      <c r="J86" s="96">
        <f t="shared" si="12"/>
        <v>0</v>
      </c>
      <c r="K86" s="50" t="str">
        <f>"="&amp;A83&amp;" *(1+"&amp;A84&amp;" ) + "&amp;A85</f>
        <v>=[34] *(1+[35] ) + [36]</v>
      </c>
    </row>
    <row r="87" spans="1:11" ht="16.5" thickBot="1">
      <c r="A87" s="65" t="str">
        <f>"["&amp;TEXT(VALUE(MID(A86,2,LEN(A86)-2))+1,"#")&amp;"]"</f>
        <v>[38]</v>
      </c>
      <c r="B87" s="66" t="s">
        <v>7</v>
      </c>
      <c r="C87" s="25"/>
      <c r="D87" s="97">
        <f aca="true" t="shared" si="13" ref="D87:J87">D86*D52*$H5</f>
        <v>103.00056724999996</v>
      </c>
      <c r="E87" s="97">
        <f t="shared" si="13"/>
        <v>1.1939093749999983</v>
      </c>
      <c r="F87" s="97">
        <f t="shared" si="13"/>
        <v>0</v>
      </c>
      <c r="G87" s="97">
        <f t="shared" si="13"/>
        <v>0</v>
      </c>
      <c r="H87" s="97">
        <f t="shared" si="13"/>
        <v>0</v>
      </c>
      <c r="I87" s="97">
        <f t="shared" si="13"/>
        <v>0</v>
      </c>
      <c r="J87" s="98">
        <f t="shared" si="13"/>
        <v>0</v>
      </c>
      <c r="K87" s="81" t="str">
        <f>"="&amp;A86&amp;" * "&amp;E5&amp;" * "&amp;B52</f>
        <v>=[37] * [1] * [24]</v>
      </c>
    </row>
    <row r="88" ht="16.5" thickTop="1">
      <c r="A88" s="33"/>
    </row>
  </sheetData>
  <printOptions horizontalCentered="1" verticalCentered="1"/>
  <pageMargins left="0.75" right="0.75" top="0.49" bottom="0.5" header="0.5" footer="0.5"/>
  <pageSetup fitToHeight="2" fitToWidth="1" horizontalDpi="300" verticalDpi="300" orientation="landscape" scale="79" r:id="rId1"/>
  <headerFooter alignWithMargins="0">
    <oddHeader>&amp;R&amp;"Arial,Bold Italic"&amp;14Page &amp;P of &amp;N</oddHeader>
  </headerFooter>
  <rowBreaks count="1" manualBreakCount="1">
    <brk id="4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51">
    <pageSetUpPr fitToPage="1"/>
  </sheetPr>
  <dimension ref="A1:L8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13.421875" style="0" customWidth="1"/>
    <col min="3" max="4" width="13.00390625" style="0" customWidth="1"/>
    <col min="5" max="5" width="13.28125" style="0" customWidth="1"/>
    <col min="6" max="6" width="15.7109375" style="0" customWidth="1"/>
    <col min="7" max="7" width="13.8515625" style="0" customWidth="1"/>
    <col min="8" max="8" width="12.140625" style="0" customWidth="1"/>
    <col min="9" max="9" width="15.421875" style="0" customWidth="1"/>
    <col min="10" max="10" width="13.7109375" style="0" customWidth="1"/>
    <col min="11" max="11" width="19.8515625" style="0" customWidth="1"/>
    <col min="12" max="12" width="14.140625" style="0" customWidth="1"/>
    <col min="13" max="16" width="11.421875" style="0" customWidth="1"/>
    <col min="17" max="17" width="11.7109375" style="0" customWidth="1"/>
  </cols>
  <sheetData>
    <row r="1" spans="1:12" ht="26.25">
      <c r="A1" s="43" t="s">
        <v>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6.25">
      <c r="A2" s="45" t="s">
        <v>46</v>
      </c>
      <c r="B2" s="44"/>
      <c r="C2" s="44"/>
      <c r="D2" s="44"/>
      <c r="E2" s="44"/>
      <c r="F2" s="45"/>
      <c r="G2" s="44"/>
      <c r="H2" s="44"/>
      <c r="I2" s="44"/>
      <c r="J2" s="44"/>
      <c r="K2" s="44"/>
      <c r="L2" s="44"/>
    </row>
    <row r="3" ht="13.5" thickBot="1">
      <c r="A3" s="1"/>
    </row>
    <row r="4" spans="1:11" ht="20.25" thickBot="1" thickTop="1">
      <c r="A4" s="1"/>
      <c r="E4" s="52"/>
      <c r="F4" s="55"/>
      <c r="G4" s="55" t="s">
        <v>32</v>
      </c>
      <c r="H4" s="54"/>
      <c r="I4" s="59"/>
      <c r="J4" s="13"/>
      <c r="K4" s="22"/>
    </row>
    <row r="5" spans="1:12" ht="17.25" thickBot="1" thickTop="1">
      <c r="A5" s="1"/>
      <c r="E5" s="35" t="s">
        <v>31</v>
      </c>
      <c r="F5" s="22" t="s">
        <v>2</v>
      </c>
      <c r="G5" s="22"/>
      <c r="H5" s="58">
        <f>Case1!H5</f>
        <v>3600</v>
      </c>
      <c r="I5" s="83" t="s">
        <v>41</v>
      </c>
      <c r="L5" s="40"/>
    </row>
    <row r="6" spans="1:9" ht="16.5" thickBot="1">
      <c r="A6" s="1"/>
      <c r="E6" s="106" t="str">
        <f>"["&amp;TEXT(VALUE(MID(E5,2,LEN(E5)-2))+1,"#")&amp;"]"</f>
        <v>[2]</v>
      </c>
      <c r="F6" s="110" t="s">
        <v>18</v>
      </c>
      <c r="G6" s="115"/>
      <c r="H6" s="118">
        <v>0.0818</v>
      </c>
      <c r="I6" s="87" t="s">
        <v>41</v>
      </c>
    </row>
    <row r="7" spans="1:9" ht="16.5" thickBot="1">
      <c r="A7" s="1"/>
      <c r="E7" s="35" t="str">
        <f>"["&amp;TEXT(VALUE(MID(E6,2,LEN(E6)-2))+1,"#")&amp;"]"</f>
        <v>[3]</v>
      </c>
      <c r="F7" s="22" t="s">
        <v>21</v>
      </c>
      <c r="G7" s="124"/>
      <c r="H7" s="125">
        <v>1000</v>
      </c>
      <c r="I7" s="87" t="s">
        <v>41</v>
      </c>
    </row>
    <row r="8" spans="1:9" ht="16.5" thickBot="1">
      <c r="A8" s="1"/>
      <c r="E8" s="36" t="str">
        <f>"["&amp;TEXT(VALUE(MID(E7,2,LEN(E7)-2))+1,"#")&amp;"]"</f>
        <v>[4]</v>
      </c>
      <c r="F8" s="25" t="s">
        <v>64</v>
      </c>
      <c r="G8" s="26"/>
      <c r="H8" s="126">
        <v>0.05</v>
      </c>
      <c r="I8" s="86" t="s">
        <v>41</v>
      </c>
    </row>
    <row r="9" spans="1:11" ht="17.25" thickBot="1" thickTop="1">
      <c r="A9" s="1"/>
      <c r="C9" s="41"/>
      <c r="D9" s="22"/>
      <c r="E9" s="13"/>
      <c r="F9" s="13"/>
      <c r="H9" s="41"/>
      <c r="I9" s="28"/>
      <c r="J9" s="22"/>
      <c r="K9" s="32"/>
    </row>
    <row r="10" spans="1:11" ht="20.25" thickBot="1" thickTop="1">
      <c r="A10" s="1"/>
      <c r="B10" s="52"/>
      <c r="C10" s="53"/>
      <c r="D10" s="54"/>
      <c r="E10" s="21"/>
      <c r="F10" s="55"/>
      <c r="G10" s="55" t="s">
        <v>33</v>
      </c>
      <c r="H10" s="53"/>
      <c r="I10" s="56"/>
      <c r="J10" s="54"/>
      <c r="K10" s="57"/>
    </row>
    <row r="11" spans="1:11" ht="16.5" thickTop="1">
      <c r="A11" s="1"/>
      <c r="B11" s="46" t="str">
        <f>"["&amp;TEXT(VALUE(MID(E8,2,LEN(E8)-2))+1,"#")&amp;"]"</f>
        <v>[5]</v>
      </c>
      <c r="C11" s="47" t="s">
        <v>19</v>
      </c>
      <c r="D11" s="48"/>
      <c r="E11" s="99">
        <f>H6*E12</f>
        <v>59.8367</v>
      </c>
      <c r="F11" s="49" t="str">
        <f>"="&amp;E6&amp;" * "&amp;B12</f>
        <v>=[2] * [6]</v>
      </c>
      <c r="G11" s="46" t="str">
        <f>"["&amp;TEXT(VALUE(MID(B15,2,LEN(B15)-2))+1,"#")&amp;"]"</f>
        <v>[10]</v>
      </c>
      <c r="H11" s="21" t="s">
        <v>39</v>
      </c>
      <c r="I11" s="21"/>
      <c r="J11" s="93">
        <f>SUMPRODUCT($C26:$C45,I26:I45)</f>
        <v>3879.4035350000013</v>
      </c>
      <c r="K11" s="49" t="str">
        <f>"=E{ "&amp;I18&amp;" }"</f>
        <v>=E{ [22] }</v>
      </c>
    </row>
    <row r="12" spans="1:11" ht="15.75">
      <c r="A12" s="1"/>
      <c r="B12" s="35" t="str">
        <f>"["&amp;TEXT(VALUE(MID(B11,2,LEN(B11)-2))+1,"#")&amp;"]"</f>
        <v>[6]</v>
      </c>
      <c r="C12" s="28" t="s">
        <v>37</v>
      </c>
      <c r="D12" s="22"/>
      <c r="E12" s="14">
        <f>SUMPRODUCT($C26:$C45,F26:F45)</f>
        <v>731.5</v>
      </c>
      <c r="F12" s="50" t="str">
        <f>"=E{ "&amp;F18&amp;" }"</f>
        <v>=E{ [19] }</v>
      </c>
      <c r="G12" s="106" t="str">
        <f>"["&amp;TEXT(VALUE(MID(G11,2,LEN(G11)-2))+1,"#")&amp;"]"</f>
        <v>[11]</v>
      </c>
      <c r="H12" s="110" t="s">
        <v>20</v>
      </c>
      <c r="I12" s="111"/>
      <c r="J12" s="107">
        <f>J11/H5-1</f>
        <v>0.07761209305555594</v>
      </c>
      <c r="K12" s="112" t="str">
        <f>"="&amp;G11&amp;" / "&amp;E5&amp;" - 1.00"</f>
        <v>=[10] / [1] - 1.00</v>
      </c>
    </row>
    <row r="13" spans="1:11" ht="15.75">
      <c r="A13" s="1"/>
      <c r="B13" s="35" t="str">
        <f>"["&amp;TEXT(VALUE(MID(B12,2,LEN(B12)-2))+1,"#")&amp;"]"</f>
        <v>[7]</v>
      </c>
      <c r="C13" s="28" t="s">
        <v>22</v>
      </c>
      <c r="D13" s="22"/>
      <c r="E13" s="100">
        <f>E11+H5+E12</f>
        <v>4391.3367</v>
      </c>
      <c r="F13" s="50" t="str">
        <f>"="&amp;E5&amp;" +"&amp;B11&amp;" +"&amp;B12</f>
        <v>=[1] +[5] +[6]</v>
      </c>
      <c r="G13" s="35" t="str">
        <f>"["&amp;TEXT(VALUE(MID(G12,2,LEN(G12)-2))+1,"#")&amp;"]"</f>
        <v>[12]</v>
      </c>
      <c r="H13" s="27" t="s">
        <v>35</v>
      </c>
      <c r="I13" s="22"/>
      <c r="J13" s="102">
        <f>SUM(D87:J87)</f>
        <v>99.27188395</v>
      </c>
      <c r="K13" s="50" t="str">
        <f>"=Sum{ "&amp;A87&amp;" }"</f>
        <v>=Sum{ [38] }</v>
      </c>
    </row>
    <row r="14" spans="1:11" ht="15.75">
      <c r="A14" s="1"/>
      <c r="B14" s="35" t="str">
        <f>"["&amp;TEXT(VALUE(MID(B13,2,LEN(B13)-2))+1,"#")&amp;"]"</f>
        <v>[8]</v>
      </c>
      <c r="C14" s="28" t="s">
        <v>38</v>
      </c>
      <c r="D14" s="22"/>
      <c r="E14" s="14">
        <f>SUMPRODUCT($C26:$C45,H26:H45)</f>
        <v>88.59898999999999</v>
      </c>
      <c r="F14" s="50" t="str">
        <f>"=E{ "&amp;H18&amp;" }"</f>
        <v>=E{ [21] }</v>
      </c>
      <c r="G14" s="106" t="str">
        <f>"["&amp;TEXT(VALUE(MID(G13,2,LEN(G13)-2))+1,"#")&amp;"]"</f>
        <v>[13]</v>
      </c>
      <c r="H14" s="111" t="s">
        <v>8</v>
      </c>
      <c r="I14" s="111"/>
      <c r="J14" s="107">
        <f>J13/H5+H8</f>
        <v>0.07757552331944445</v>
      </c>
      <c r="K14" s="112" t="str">
        <f>"="&amp;G13&amp;" / "&amp;E5&amp;" + "&amp;E8</f>
        <v>=[12] / [1] + [4]</v>
      </c>
    </row>
    <row r="15" spans="1:11" ht="16.5" thickBot="1">
      <c r="A15" s="1"/>
      <c r="B15" s="108" t="str">
        <f>"["&amp;TEXT(VALUE(MID(B14,2,LEN(B14)-2))+1,"#")&amp;"]"</f>
        <v>[9]</v>
      </c>
      <c r="C15" s="113" t="s">
        <v>65</v>
      </c>
      <c r="D15" s="113"/>
      <c r="E15" s="109">
        <f>E14/H5</f>
        <v>0.024610830555555553</v>
      </c>
      <c r="F15" s="114" t="str">
        <f>"="&amp;B14&amp;" / "&amp;E5</f>
        <v>=[8] / [1]</v>
      </c>
      <c r="G15" s="108" t="str">
        <f>"["&amp;TEXT(VALUE(MID(G14,2,LEN(G14)-2))+1,"#")&amp;"]"</f>
        <v>[14]</v>
      </c>
      <c r="H15" s="113" t="s">
        <v>52</v>
      </c>
      <c r="I15" s="113"/>
      <c r="J15" s="109">
        <f>J14-E15-H8</f>
        <v>0.0029646927638888945</v>
      </c>
      <c r="K15" s="114" t="str">
        <f>"="&amp;G14&amp;" - "&amp;B15&amp;" - "&amp;E8</f>
        <v>=[13] - [9] - [4]</v>
      </c>
    </row>
    <row r="16" spans="1:8" ht="16.5" thickTop="1">
      <c r="A16" s="1"/>
      <c r="H16" s="41"/>
    </row>
    <row r="17" ht="12.75">
      <c r="A17" s="1"/>
    </row>
    <row r="18" spans="2:10" ht="15.75">
      <c r="B18" s="34" t="str">
        <f>"["&amp;TEXT(VALUE(MID(G15,2,LEN(G15)-2))+1,"#")&amp;"]"</f>
        <v>[15]</v>
      </c>
      <c r="C18" s="34" t="str">
        <f aca="true" t="shared" si="0" ref="C18:J18">"["&amp;TEXT(VALUE(MID(B18,2,LEN(B18)-2))+1,"#")&amp;"]"</f>
        <v>[16]</v>
      </c>
      <c r="D18" s="34" t="str">
        <f t="shared" si="0"/>
        <v>[17]</v>
      </c>
      <c r="E18" s="34" t="str">
        <f t="shared" si="0"/>
        <v>[18]</v>
      </c>
      <c r="F18" s="34" t="str">
        <f t="shared" si="0"/>
        <v>[19]</v>
      </c>
      <c r="G18" s="34" t="str">
        <f t="shared" si="0"/>
        <v>[20]</v>
      </c>
      <c r="H18" s="34" t="str">
        <f t="shared" si="0"/>
        <v>[21]</v>
      </c>
      <c r="I18" s="34" t="str">
        <f t="shared" si="0"/>
        <v>[22]</v>
      </c>
      <c r="J18" s="34" t="str">
        <f t="shared" si="0"/>
        <v>[23]</v>
      </c>
    </row>
    <row r="19" spans="2:10" ht="12.75" customHeight="1">
      <c r="B19" s="34"/>
      <c r="C19" s="34"/>
      <c r="D19" s="34"/>
      <c r="E19" s="34"/>
      <c r="F19" s="34"/>
      <c r="G19" s="34"/>
      <c r="H19" s="34"/>
      <c r="I19" s="34"/>
      <c r="J19" s="34"/>
    </row>
    <row r="20" spans="2:10" ht="12.75">
      <c r="B20" s="31"/>
      <c r="C20" s="31"/>
      <c r="D20" s="31"/>
      <c r="E20" s="31"/>
      <c r="F20" s="31"/>
      <c r="G20" s="31" t="s">
        <v>43</v>
      </c>
      <c r="H20" s="31"/>
      <c r="I20" s="31"/>
      <c r="J20" s="30"/>
    </row>
    <row r="21" spans="2:10" ht="12.75">
      <c r="B21" s="31"/>
      <c r="C21" s="38"/>
      <c r="D21" s="31"/>
      <c r="E21" s="31"/>
      <c r="F21" s="31"/>
      <c r="G21" s="31" t="s">
        <v>28</v>
      </c>
      <c r="H21" s="31"/>
      <c r="I21" s="31"/>
      <c r="J21" s="31"/>
    </row>
    <row r="22" spans="2:10" ht="12.75">
      <c r="B22" s="39" t="s">
        <v>68</v>
      </c>
      <c r="C22" s="39" t="s">
        <v>3</v>
      </c>
      <c r="D22" s="39" t="s">
        <v>4</v>
      </c>
      <c r="E22" s="39" t="s">
        <v>24</v>
      </c>
      <c r="F22" s="39" t="s">
        <v>5</v>
      </c>
      <c r="G22" s="31" t="s">
        <v>29</v>
      </c>
      <c r="H22" s="39" t="s">
        <v>6</v>
      </c>
      <c r="I22" s="39" t="s">
        <v>16</v>
      </c>
      <c r="J22" s="39" t="s">
        <v>17</v>
      </c>
    </row>
    <row r="23" spans="3:10" ht="12.75">
      <c r="C23" s="85" t="s">
        <v>41</v>
      </c>
      <c r="D23" s="42" t="s">
        <v>36</v>
      </c>
      <c r="E23" s="85" t="s">
        <v>41</v>
      </c>
      <c r="F23" s="42" t="str">
        <f>"="&amp;E7&amp;" * "&amp;E18</f>
        <v>=[3] * [18]</v>
      </c>
      <c r="G23" s="42" t="str">
        <f>"="&amp;B11&amp;" + "&amp;B12</f>
        <v>=[5] + [6]</v>
      </c>
      <c r="H23" s="42" t="s">
        <v>42</v>
      </c>
      <c r="I23" s="42" t="str">
        <f>"="&amp;B13&amp;" * (1.00 + "&amp;E8&amp;" )"</f>
        <v>=[7] * (1.00 + [4] )</v>
      </c>
      <c r="J23" s="42" t="str">
        <f>"="&amp;H18&amp;" / "&amp;E5</f>
        <v>=[21] / [1]</v>
      </c>
    </row>
    <row r="24" spans="4:10" ht="12.75">
      <c r="D24" s="42" t="str">
        <f>"of "&amp;C18</f>
        <v>of [16]</v>
      </c>
      <c r="E24" s="82"/>
      <c r="F24" s="82"/>
      <c r="G24" s="82"/>
      <c r="H24" s="42" t="str">
        <f>F18&amp;" - "&amp;G18&amp;" )"</f>
        <v>[19] - [20] )</v>
      </c>
      <c r="I24" s="85" t="str">
        <f>"- "&amp;F18</f>
        <v>- [19]</v>
      </c>
      <c r="J24" s="82"/>
    </row>
    <row r="25" ht="13.5" thickBot="1"/>
    <row r="26" spans="2:10" ht="12.75">
      <c r="B26" s="30">
        <v>1</v>
      </c>
      <c r="C26" s="88">
        <v>0.02</v>
      </c>
      <c r="D26" s="3">
        <f aca="true" t="shared" si="1" ref="D26:D45">C26+D25</f>
        <v>0.02</v>
      </c>
      <c r="E26" s="88">
        <v>0.35</v>
      </c>
      <c r="F26" s="91">
        <f aca="true" t="shared" si="2" ref="F26:F45">E26*$H$7</f>
        <v>350</v>
      </c>
      <c r="G26" s="91">
        <f>(1+H$6)*E$12</f>
        <v>791.3367000000001</v>
      </c>
      <c r="H26" s="91">
        <f aca="true" t="shared" si="3" ref="H26:H45">MAX(F26-G26,0)</f>
        <v>0</v>
      </c>
      <c r="I26" s="91">
        <f>$E$13*(1+$H$8)-F26</f>
        <v>4260.903535</v>
      </c>
      <c r="J26" s="92">
        <f aca="true" t="shared" si="4" ref="J26:J45">H26/H$5</f>
        <v>0</v>
      </c>
    </row>
    <row r="27" spans="2:10" ht="12.75">
      <c r="B27" s="30">
        <v>2</v>
      </c>
      <c r="C27" s="89">
        <v>0.04</v>
      </c>
      <c r="D27" s="3">
        <f t="shared" si="1"/>
        <v>0.06</v>
      </c>
      <c r="E27" s="89">
        <v>0.4</v>
      </c>
      <c r="F27" s="91">
        <f t="shared" si="2"/>
        <v>400</v>
      </c>
      <c r="G27" s="91">
        <f aca="true" t="shared" si="5" ref="G27:G45">G26</f>
        <v>791.3367000000001</v>
      </c>
      <c r="H27" s="91">
        <f t="shared" si="3"/>
        <v>0</v>
      </c>
      <c r="I27" s="91">
        <f aca="true" t="shared" si="6" ref="I27:I45">$E$13*(1+$H$8)-F27</f>
        <v>4210.903535</v>
      </c>
      <c r="J27" s="92">
        <f t="shared" si="4"/>
        <v>0</v>
      </c>
    </row>
    <row r="28" spans="2:10" ht="12.75">
      <c r="B28" s="30">
        <v>3</v>
      </c>
      <c r="C28" s="89">
        <v>0.06</v>
      </c>
      <c r="D28" s="3">
        <f t="shared" si="1"/>
        <v>0.12</v>
      </c>
      <c r="E28" s="89">
        <v>0.45</v>
      </c>
      <c r="F28" s="91">
        <f t="shared" si="2"/>
        <v>450</v>
      </c>
      <c r="G28" s="91">
        <f t="shared" si="5"/>
        <v>791.3367000000001</v>
      </c>
      <c r="H28" s="91">
        <f t="shared" si="3"/>
        <v>0</v>
      </c>
      <c r="I28" s="91">
        <f t="shared" si="6"/>
        <v>4160.903535</v>
      </c>
      <c r="J28" s="92">
        <f t="shared" si="4"/>
        <v>0</v>
      </c>
    </row>
    <row r="29" spans="2:10" ht="12.75">
      <c r="B29" s="30">
        <v>4</v>
      </c>
      <c r="C29" s="89">
        <v>0.1</v>
      </c>
      <c r="D29" s="3">
        <f t="shared" si="1"/>
        <v>0.22</v>
      </c>
      <c r="E29" s="89">
        <v>0.5</v>
      </c>
      <c r="F29" s="91">
        <f t="shared" si="2"/>
        <v>500</v>
      </c>
      <c r="G29" s="91">
        <f t="shared" si="5"/>
        <v>791.3367000000001</v>
      </c>
      <c r="H29" s="91">
        <f t="shared" si="3"/>
        <v>0</v>
      </c>
      <c r="I29" s="91">
        <f t="shared" si="6"/>
        <v>4110.903535</v>
      </c>
      <c r="J29" s="92">
        <f t="shared" si="4"/>
        <v>0</v>
      </c>
    </row>
    <row r="30" spans="2:10" ht="12.75">
      <c r="B30" s="30">
        <v>5</v>
      </c>
      <c r="C30" s="89">
        <v>0.11</v>
      </c>
      <c r="D30" s="3">
        <f t="shared" si="1"/>
        <v>0.33</v>
      </c>
      <c r="E30" s="89">
        <v>0.55</v>
      </c>
      <c r="F30" s="91">
        <f t="shared" si="2"/>
        <v>550</v>
      </c>
      <c r="G30" s="91">
        <f t="shared" si="5"/>
        <v>791.3367000000001</v>
      </c>
      <c r="H30" s="91">
        <f t="shared" si="3"/>
        <v>0</v>
      </c>
      <c r="I30" s="91">
        <f t="shared" si="6"/>
        <v>4060.9035350000004</v>
      </c>
      <c r="J30" s="92">
        <f t="shared" si="4"/>
        <v>0</v>
      </c>
    </row>
    <row r="31" spans="2:10" ht="12.75">
      <c r="B31" s="30">
        <v>6</v>
      </c>
      <c r="C31" s="89">
        <v>0.12</v>
      </c>
      <c r="D31" s="3">
        <f t="shared" si="1"/>
        <v>0.45</v>
      </c>
      <c r="E31" s="89">
        <v>0.6</v>
      </c>
      <c r="F31" s="91">
        <f t="shared" si="2"/>
        <v>600</v>
      </c>
      <c r="G31" s="91">
        <f t="shared" si="5"/>
        <v>791.3367000000001</v>
      </c>
      <c r="H31" s="91">
        <f t="shared" si="3"/>
        <v>0</v>
      </c>
      <c r="I31" s="91">
        <f t="shared" si="6"/>
        <v>4010.9035350000004</v>
      </c>
      <c r="J31" s="92">
        <f t="shared" si="4"/>
        <v>0</v>
      </c>
    </row>
    <row r="32" spans="2:10" ht="12.75">
      <c r="B32" s="30">
        <v>7</v>
      </c>
      <c r="C32" s="89">
        <v>0.1</v>
      </c>
      <c r="D32" s="3">
        <f t="shared" si="1"/>
        <v>0.55</v>
      </c>
      <c r="E32" s="89">
        <v>0.65</v>
      </c>
      <c r="F32" s="91">
        <f t="shared" si="2"/>
        <v>650</v>
      </c>
      <c r="G32" s="91">
        <f t="shared" si="5"/>
        <v>791.3367000000001</v>
      </c>
      <c r="H32" s="91">
        <f t="shared" si="3"/>
        <v>0</v>
      </c>
      <c r="I32" s="91">
        <f t="shared" si="6"/>
        <v>3960.9035350000004</v>
      </c>
      <c r="J32" s="92">
        <f t="shared" si="4"/>
        <v>0</v>
      </c>
    </row>
    <row r="33" spans="2:10" ht="12.75">
      <c r="B33" s="30">
        <v>8</v>
      </c>
      <c r="C33" s="89">
        <v>0.09</v>
      </c>
      <c r="D33" s="3">
        <f t="shared" si="1"/>
        <v>0.64</v>
      </c>
      <c r="E33" s="89">
        <v>0.7</v>
      </c>
      <c r="F33" s="91">
        <f t="shared" si="2"/>
        <v>700</v>
      </c>
      <c r="G33" s="91">
        <f t="shared" si="5"/>
        <v>791.3367000000001</v>
      </c>
      <c r="H33" s="91">
        <f t="shared" si="3"/>
        <v>0</v>
      </c>
      <c r="I33" s="91">
        <f t="shared" si="6"/>
        <v>3910.9035350000004</v>
      </c>
      <c r="J33" s="92">
        <f t="shared" si="4"/>
        <v>0</v>
      </c>
    </row>
    <row r="34" spans="2:10" ht="12.75">
      <c r="B34" s="30">
        <v>9</v>
      </c>
      <c r="C34" s="89">
        <v>0.06</v>
      </c>
      <c r="D34" s="3">
        <f t="shared" si="1"/>
        <v>0.7</v>
      </c>
      <c r="E34" s="89">
        <v>0.75</v>
      </c>
      <c r="F34" s="91">
        <f t="shared" si="2"/>
        <v>750</v>
      </c>
      <c r="G34" s="91">
        <f t="shared" si="5"/>
        <v>791.3367000000001</v>
      </c>
      <c r="H34" s="91">
        <f t="shared" si="3"/>
        <v>0</v>
      </c>
      <c r="I34" s="91">
        <f t="shared" si="6"/>
        <v>3860.9035350000004</v>
      </c>
      <c r="J34" s="92">
        <f t="shared" si="4"/>
        <v>0</v>
      </c>
    </row>
    <row r="35" spans="2:10" ht="12.75">
      <c r="B35" s="30">
        <v>10</v>
      </c>
      <c r="C35" s="89">
        <v>0.05</v>
      </c>
      <c r="D35" s="3">
        <f t="shared" si="1"/>
        <v>0.75</v>
      </c>
      <c r="E35" s="89">
        <v>0.8</v>
      </c>
      <c r="F35" s="91">
        <f t="shared" si="2"/>
        <v>800</v>
      </c>
      <c r="G35" s="91">
        <f t="shared" si="5"/>
        <v>791.3367000000001</v>
      </c>
      <c r="H35" s="91">
        <f t="shared" si="3"/>
        <v>8.663299999999936</v>
      </c>
      <c r="I35" s="91">
        <f t="shared" si="6"/>
        <v>3810.9035350000004</v>
      </c>
      <c r="J35" s="92">
        <f t="shared" si="4"/>
        <v>0.0024064722222222044</v>
      </c>
    </row>
    <row r="36" spans="2:10" ht="12.75">
      <c r="B36" s="30">
        <v>11</v>
      </c>
      <c r="C36" s="89">
        <v>0.04</v>
      </c>
      <c r="D36" s="3">
        <f t="shared" si="1"/>
        <v>0.79</v>
      </c>
      <c r="E36" s="89">
        <v>0.85</v>
      </c>
      <c r="F36" s="91">
        <f t="shared" si="2"/>
        <v>850</v>
      </c>
      <c r="G36" s="91">
        <f t="shared" si="5"/>
        <v>791.3367000000001</v>
      </c>
      <c r="H36" s="91">
        <f t="shared" si="3"/>
        <v>58.663299999999936</v>
      </c>
      <c r="I36" s="91">
        <f t="shared" si="6"/>
        <v>3760.9035350000004</v>
      </c>
      <c r="J36" s="92">
        <f t="shared" si="4"/>
        <v>0.016295361111111094</v>
      </c>
    </row>
    <row r="37" spans="2:10" ht="12.75">
      <c r="B37" s="30">
        <v>12</v>
      </c>
      <c r="C37" s="89">
        <v>0.04</v>
      </c>
      <c r="D37" s="3">
        <f t="shared" si="1"/>
        <v>0.8300000000000001</v>
      </c>
      <c r="E37" s="89">
        <v>0.9</v>
      </c>
      <c r="F37" s="91">
        <f t="shared" si="2"/>
        <v>900</v>
      </c>
      <c r="G37" s="91">
        <f t="shared" si="5"/>
        <v>791.3367000000001</v>
      </c>
      <c r="H37" s="91">
        <f t="shared" si="3"/>
        <v>108.66329999999994</v>
      </c>
      <c r="I37" s="91">
        <f t="shared" si="6"/>
        <v>3710.9035350000004</v>
      </c>
      <c r="J37" s="92">
        <f t="shared" si="4"/>
        <v>0.030184249999999982</v>
      </c>
    </row>
    <row r="38" spans="2:10" ht="12.75">
      <c r="B38" s="30">
        <v>13</v>
      </c>
      <c r="C38" s="89">
        <v>0.03</v>
      </c>
      <c r="D38" s="3">
        <f t="shared" si="1"/>
        <v>0.8600000000000001</v>
      </c>
      <c r="E38" s="104">
        <v>1</v>
      </c>
      <c r="F38" s="91">
        <f t="shared" si="2"/>
        <v>1000</v>
      </c>
      <c r="G38" s="91">
        <f t="shared" si="5"/>
        <v>791.3367000000001</v>
      </c>
      <c r="H38" s="91">
        <f t="shared" si="3"/>
        <v>208.66329999999994</v>
      </c>
      <c r="I38" s="91">
        <f t="shared" si="6"/>
        <v>3610.9035350000004</v>
      </c>
      <c r="J38" s="92">
        <f t="shared" si="4"/>
        <v>0.05796202777777776</v>
      </c>
    </row>
    <row r="39" spans="2:10" ht="12.75">
      <c r="B39" s="30">
        <v>14</v>
      </c>
      <c r="C39" s="89">
        <v>0.03</v>
      </c>
      <c r="D39" s="3">
        <f t="shared" si="1"/>
        <v>0.8900000000000001</v>
      </c>
      <c r="E39" s="104">
        <v>1.1</v>
      </c>
      <c r="F39" s="91">
        <f t="shared" si="2"/>
        <v>1100</v>
      </c>
      <c r="G39" s="91">
        <f t="shared" si="5"/>
        <v>791.3367000000001</v>
      </c>
      <c r="H39" s="91">
        <f t="shared" si="3"/>
        <v>308.66329999999994</v>
      </c>
      <c r="I39" s="91">
        <f t="shared" si="6"/>
        <v>3510.9035350000004</v>
      </c>
      <c r="J39" s="92">
        <f t="shared" si="4"/>
        <v>0.08573980555555553</v>
      </c>
    </row>
    <row r="40" spans="2:10" ht="12.75">
      <c r="B40" s="30">
        <v>15</v>
      </c>
      <c r="C40" s="89">
        <v>0.03</v>
      </c>
      <c r="D40" s="3">
        <f t="shared" si="1"/>
        <v>0.9200000000000002</v>
      </c>
      <c r="E40" s="104">
        <v>1.2</v>
      </c>
      <c r="F40" s="91">
        <f t="shared" si="2"/>
        <v>1200</v>
      </c>
      <c r="G40" s="91">
        <f t="shared" si="5"/>
        <v>791.3367000000001</v>
      </c>
      <c r="H40" s="91">
        <f t="shared" si="3"/>
        <v>408.66329999999994</v>
      </c>
      <c r="I40" s="91">
        <f t="shared" si="6"/>
        <v>3410.9035350000004</v>
      </c>
      <c r="J40" s="92">
        <f t="shared" si="4"/>
        <v>0.11351758333333331</v>
      </c>
    </row>
    <row r="41" spans="2:10" ht="12.75">
      <c r="B41" s="30">
        <v>16</v>
      </c>
      <c r="C41" s="89">
        <v>0.02</v>
      </c>
      <c r="D41" s="3">
        <f t="shared" si="1"/>
        <v>0.9400000000000002</v>
      </c>
      <c r="E41" s="104">
        <v>1.3</v>
      </c>
      <c r="F41" s="91">
        <f t="shared" si="2"/>
        <v>1300</v>
      </c>
      <c r="G41" s="91">
        <f t="shared" si="5"/>
        <v>791.3367000000001</v>
      </c>
      <c r="H41" s="91">
        <f t="shared" si="3"/>
        <v>508.66329999999994</v>
      </c>
      <c r="I41" s="91">
        <f t="shared" si="6"/>
        <v>3310.9035350000004</v>
      </c>
      <c r="J41" s="92">
        <f t="shared" si="4"/>
        <v>0.1412953611111111</v>
      </c>
    </row>
    <row r="42" spans="2:10" ht="12.75">
      <c r="B42" s="30">
        <v>17</v>
      </c>
      <c r="C42" s="89">
        <v>0.02</v>
      </c>
      <c r="D42" s="3">
        <f t="shared" si="1"/>
        <v>0.9600000000000002</v>
      </c>
      <c r="E42" s="104">
        <v>1.4</v>
      </c>
      <c r="F42" s="91">
        <f t="shared" si="2"/>
        <v>1400</v>
      </c>
      <c r="G42" s="91">
        <f t="shared" si="5"/>
        <v>791.3367000000001</v>
      </c>
      <c r="H42" s="91">
        <f t="shared" si="3"/>
        <v>608.6632999999999</v>
      </c>
      <c r="I42" s="91">
        <f t="shared" si="6"/>
        <v>3210.9035350000004</v>
      </c>
      <c r="J42" s="92">
        <f t="shared" si="4"/>
        <v>0.16907313888888886</v>
      </c>
    </row>
    <row r="43" spans="2:10" ht="12.75">
      <c r="B43" s="30">
        <v>18</v>
      </c>
      <c r="C43" s="89">
        <v>0.02</v>
      </c>
      <c r="D43" s="3">
        <f t="shared" si="1"/>
        <v>0.9800000000000002</v>
      </c>
      <c r="E43" s="104">
        <v>1.5</v>
      </c>
      <c r="F43" s="91">
        <f t="shared" si="2"/>
        <v>1500</v>
      </c>
      <c r="G43" s="91">
        <f t="shared" si="5"/>
        <v>791.3367000000001</v>
      </c>
      <c r="H43" s="91">
        <f t="shared" si="3"/>
        <v>708.6632999999999</v>
      </c>
      <c r="I43" s="91">
        <f t="shared" si="6"/>
        <v>3110.9035350000004</v>
      </c>
      <c r="J43" s="92">
        <f t="shared" si="4"/>
        <v>0.19685091666666665</v>
      </c>
    </row>
    <row r="44" spans="2:10" ht="12.75">
      <c r="B44" s="30">
        <v>19</v>
      </c>
      <c r="C44" s="89">
        <v>0.01</v>
      </c>
      <c r="D44" s="3">
        <f t="shared" si="1"/>
        <v>0.9900000000000002</v>
      </c>
      <c r="E44" s="104">
        <v>1.6</v>
      </c>
      <c r="F44" s="91">
        <f t="shared" si="2"/>
        <v>1600</v>
      </c>
      <c r="G44" s="91">
        <f t="shared" si="5"/>
        <v>791.3367000000001</v>
      </c>
      <c r="H44" s="91">
        <f t="shared" si="3"/>
        <v>808.6632999999999</v>
      </c>
      <c r="I44" s="91">
        <f t="shared" si="6"/>
        <v>3010.9035350000004</v>
      </c>
      <c r="J44" s="92">
        <f t="shared" si="4"/>
        <v>0.22462869444444442</v>
      </c>
    </row>
    <row r="45" spans="2:10" ht="13.5" thickBot="1">
      <c r="B45" s="37">
        <v>20</v>
      </c>
      <c r="C45" s="90">
        <v>0.01</v>
      </c>
      <c r="D45" s="3">
        <f t="shared" si="1"/>
        <v>1.0000000000000002</v>
      </c>
      <c r="E45" s="105">
        <v>1.7</v>
      </c>
      <c r="F45" s="91">
        <f t="shared" si="2"/>
        <v>1700</v>
      </c>
      <c r="G45" s="91">
        <f t="shared" si="5"/>
        <v>791.3367000000001</v>
      </c>
      <c r="H45" s="91">
        <f t="shared" si="3"/>
        <v>908.6632999999999</v>
      </c>
      <c r="I45" s="91">
        <f t="shared" si="6"/>
        <v>2910.9035350000004</v>
      </c>
      <c r="J45" s="92">
        <f t="shared" si="4"/>
        <v>0.2524064722222222</v>
      </c>
    </row>
    <row r="46" spans="1:9" ht="12.75">
      <c r="A46" s="37"/>
      <c r="B46" s="2"/>
      <c r="C46" s="3"/>
      <c r="D46" s="2"/>
      <c r="E46" s="4"/>
      <c r="F46" s="15"/>
      <c r="G46" s="4"/>
      <c r="H46" s="4"/>
      <c r="I46" s="7"/>
    </row>
    <row r="47" spans="1:12" ht="26.25">
      <c r="A47" s="43" t="str">
        <f>A1</f>
        <v>Exhibit 3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26.25">
      <c r="A48" s="45" t="str">
        <f>A2</f>
        <v>CASE 3 -- More Skewed Loss Distribution, Same CS, In Yield Balance</v>
      </c>
      <c r="B48" s="44"/>
      <c r="C48" s="44"/>
      <c r="D48" s="44"/>
      <c r="E48" s="44"/>
      <c r="F48" s="45"/>
      <c r="G48" s="44"/>
      <c r="H48" s="44"/>
      <c r="I48" s="44"/>
      <c r="J48" s="44"/>
      <c r="K48" s="44"/>
      <c r="L48" s="44"/>
    </row>
    <row r="49" spans="6:9" ht="13.5" thickBot="1">
      <c r="F49" s="5"/>
      <c r="I49" s="9"/>
    </row>
    <row r="50" spans="2:10" ht="20.25" thickBot="1" thickTop="1">
      <c r="B50" s="20"/>
      <c r="C50" s="21"/>
      <c r="D50" s="67"/>
      <c r="E50" s="67"/>
      <c r="F50" s="29" t="s">
        <v>23</v>
      </c>
      <c r="G50" s="67"/>
      <c r="H50" s="67"/>
      <c r="I50" s="67"/>
      <c r="J50" s="68"/>
    </row>
    <row r="51" spans="2:10" ht="13.5" thickBot="1">
      <c r="B51" s="69"/>
      <c r="C51" s="127" t="s">
        <v>67</v>
      </c>
      <c r="D51" s="128">
        <v>1</v>
      </c>
      <c r="E51" s="128">
        <v>2</v>
      </c>
      <c r="F51" s="128">
        <v>3</v>
      </c>
      <c r="G51" s="128">
        <v>4</v>
      </c>
      <c r="H51" s="128">
        <v>5</v>
      </c>
      <c r="I51" s="128">
        <v>6</v>
      </c>
      <c r="J51" s="129">
        <v>7</v>
      </c>
    </row>
    <row r="52" spans="2:11" ht="16.5" thickTop="1">
      <c r="B52" s="70" t="str">
        <f>"["&amp;TEXT(VALUE(MID(J18,2,LEN(J18)-2))+1,"#")&amp;"]"</f>
        <v>[24]</v>
      </c>
      <c r="C52" s="71" t="s">
        <v>0</v>
      </c>
      <c r="D52" s="11">
        <v>0.25</v>
      </c>
      <c r="E52" s="12">
        <v>0.25</v>
      </c>
      <c r="F52" s="12">
        <v>0.25</v>
      </c>
      <c r="G52" s="12">
        <v>0.25</v>
      </c>
      <c r="H52" s="12">
        <v>1</v>
      </c>
      <c r="I52" s="12">
        <v>2</v>
      </c>
      <c r="J52" s="75">
        <v>999.99</v>
      </c>
      <c r="K52" s="83" t="s">
        <v>41</v>
      </c>
    </row>
    <row r="53" spans="2:11" ht="16.5" thickBot="1">
      <c r="B53" s="65" t="str">
        <f>"["&amp;TEXT(VALUE(MID(B52,2,LEN(B52)-2))+1,"#")&amp;"]"</f>
        <v>[25]</v>
      </c>
      <c r="C53" s="72" t="s">
        <v>1</v>
      </c>
      <c r="D53" s="76">
        <v>0</v>
      </c>
      <c r="E53" s="73">
        <v>0.25</v>
      </c>
      <c r="F53" s="73">
        <v>0.5</v>
      </c>
      <c r="G53" s="73">
        <v>0.75</v>
      </c>
      <c r="H53" s="73">
        <v>1</v>
      </c>
      <c r="I53" s="73">
        <v>2</v>
      </c>
      <c r="J53" s="74">
        <v>4</v>
      </c>
      <c r="K53" s="86" t="s">
        <v>41</v>
      </c>
    </row>
    <row r="54" ht="13.5" thickTop="1"/>
    <row r="55" spans="2:10" s="103" customFormat="1" ht="15.75">
      <c r="B55" s="34" t="str">
        <f>B18</f>
        <v>[15]</v>
      </c>
      <c r="D55" s="34" t="str">
        <f>"["&amp;TEXT(VALUE(MID(B53,2,LEN(B53)-2))+1,"#")&amp;"]"</f>
        <v>[26]</v>
      </c>
      <c r="E55" s="34" t="str">
        <f aca="true" t="shared" si="7" ref="E55:J55">"["&amp;TEXT(VALUE(MID(D55,2,LEN(D55)-2))+1,"#")&amp;"]"</f>
        <v>[27]</v>
      </c>
      <c r="F55" s="34" t="str">
        <f t="shared" si="7"/>
        <v>[28]</v>
      </c>
      <c r="G55" s="34" t="str">
        <f t="shared" si="7"/>
        <v>[29]</v>
      </c>
      <c r="H55" s="34" t="str">
        <f t="shared" si="7"/>
        <v>[30]</v>
      </c>
      <c r="I55" s="34" t="str">
        <f t="shared" si="7"/>
        <v>[31]</v>
      </c>
      <c r="J55" s="34" t="str">
        <f t="shared" si="7"/>
        <v>[32]</v>
      </c>
    </row>
    <row r="56" ht="13.5" thickBot="1"/>
    <row r="57" spans="4:11" ht="13.5" thickTop="1">
      <c r="D57" s="10" t="s">
        <v>9</v>
      </c>
      <c r="E57" s="10" t="s">
        <v>10</v>
      </c>
      <c r="F57" s="10" t="s">
        <v>11</v>
      </c>
      <c r="G57" s="10" t="s">
        <v>12</v>
      </c>
      <c r="H57" s="10" t="s">
        <v>13</v>
      </c>
      <c r="I57" s="10" t="s">
        <v>14</v>
      </c>
      <c r="J57" s="10" t="s">
        <v>15</v>
      </c>
      <c r="K57" s="83" t="s">
        <v>44</v>
      </c>
    </row>
    <row r="58" spans="2:11" ht="12.75">
      <c r="B58" s="39" t="s">
        <v>68</v>
      </c>
      <c r="D58" s="10" t="s">
        <v>6</v>
      </c>
      <c r="E58" s="10" t="s">
        <v>6</v>
      </c>
      <c r="F58" s="10" t="s">
        <v>6</v>
      </c>
      <c r="G58" s="10" t="s">
        <v>6</v>
      </c>
      <c r="H58" s="10" t="s">
        <v>6</v>
      </c>
      <c r="I58" s="10" t="s">
        <v>6</v>
      </c>
      <c r="J58" s="10" t="s">
        <v>6</v>
      </c>
      <c r="K58" s="84" t="str">
        <f>"MAX( 0, MIN( "&amp;H18&amp;" -"</f>
        <v>MAX( 0, MIN( [21] -</v>
      </c>
    </row>
    <row r="59" spans="8:11" ht="13.5" thickBot="1">
      <c r="H59" s="6"/>
      <c r="I59" s="6"/>
      <c r="K59" s="81" t="str">
        <f>B53&amp;" * "&amp;E5&amp;", "&amp;B52&amp;" * "&amp;E5&amp;" ) )"</f>
        <v>[25] * [1], [24] * [1] ) )</v>
      </c>
    </row>
    <row r="60" spans="2:10" ht="13.5" thickTop="1">
      <c r="B60" s="30">
        <v>1</v>
      </c>
      <c r="D60" s="8">
        <f aca="true" t="shared" si="8" ref="D60:J69">MAX(0,MIN($H26-D$53*$H$5,D$52*$H$5))</f>
        <v>0</v>
      </c>
      <c r="E60" s="8">
        <f t="shared" si="8"/>
        <v>0</v>
      </c>
      <c r="F60" s="8">
        <f t="shared" si="8"/>
        <v>0</v>
      </c>
      <c r="G60" s="8">
        <f t="shared" si="8"/>
        <v>0</v>
      </c>
      <c r="H60" s="8">
        <f t="shared" si="8"/>
        <v>0</v>
      </c>
      <c r="I60" s="8">
        <f t="shared" si="8"/>
        <v>0</v>
      </c>
      <c r="J60" s="8">
        <f t="shared" si="8"/>
        <v>0</v>
      </c>
    </row>
    <row r="61" spans="2:10" ht="12.75">
      <c r="B61" s="30">
        <v>2</v>
      </c>
      <c r="D61" s="8">
        <f t="shared" si="8"/>
        <v>0</v>
      </c>
      <c r="E61" s="8">
        <f t="shared" si="8"/>
        <v>0</v>
      </c>
      <c r="F61" s="8">
        <f t="shared" si="8"/>
        <v>0</v>
      </c>
      <c r="G61" s="8">
        <f t="shared" si="8"/>
        <v>0</v>
      </c>
      <c r="H61" s="8">
        <f t="shared" si="8"/>
        <v>0</v>
      </c>
      <c r="I61" s="8">
        <f t="shared" si="8"/>
        <v>0</v>
      </c>
      <c r="J61" s="8">
        <f t="shared" si="8"/>
        <v>0</v>
      </c>
    </row>
    <row r="62" spans="2:11" ht="12.75">
      <c r="B62" s="30">
        <v>3</v>
      </c>
      <c r="D62" s="8">
        <f t="shared" si="8"/>
        <v>0</v>
      </c>
      <c r="E62" s="8">
        <f t="shared" si="8"/>
        <v>0</v>
      </c>
      <c r="F62" s="8">
        <f t="shared" si="8"/>
        <v>0</v>
      </c>
      <c r="G62" s="8">
        <f t="shared" si="8"/>
        <v>0</v>
      </c>
      <c r="H62" s="8">
        <f t="shared" si="8"/>
        <v>0</v>
      </c>
      <c r="I62" s="8">
        <f t="shared" si="8"/>
        <v>0</v>
      </c>
      <c r="J62" s="8">
        <f t="shared" si="8"/>
        <v>0</v>
      </c>
      <c r="K62" s="40"/>
    </row>
    <row r="63" spans="2:10" ht="12.75">
      <c r="B63" s="30">
        <v>4</v>
      </c>
      <c r="D63" s="8">
        <f t="shared" si="8"/>
        <v>0</v>
      </c>
      <c r="E63" s="8">
        <f t="shared" si="8"/>
        <v>0</v>
      </c>
      <c r="F63" s="8">
        <f t="shared" si="8"/>
        <v>0</v>
      </c>
      <c r="G63" s="8">
        <f t="shared" si="8"/>
        <v>0</v>
      </c>
      <c r="H63" s="8">
        <f t="shared" si="8"/>
        <v>0</v>
      </c>
      <c r="I63" s="8">
        <f t="shared" si="8"/>
        <v>0</v>
      </c>
      <c r="J63" s="8">
        <f t="shared" si="8"/>
        <v>0</v>
      </c>
    </row>
    <row r="64" spans="2:10" ht="12.75">
      <c r="B64" s="30">
        <v>5</v>
      </c>
      <c r="D64" s="8">
        <f t="shared" si="8"/>
        <v>0</v>
      </c>
      <c r="E64" s="8">
        <f t="shared" si="8"/>
        <v>0</v>
      </c>
      <c r="F64" s="8">
        <f t="shared" si="8"/>
        <v>0</v>
      </c>
      <c r="G64" s="8">
        <f t="shared" si="8"/>
        <v>0</v>
      </c>
      <c r="H64" s="8">
        <f t="shared" si="8"/>
        <v>0</v>
      </c>
      <c r="I64" s="8">
        <f t="shared" si="8"/>
        <v>0</v>
      </c>
      <c r="J64" s="8">
        <f t="shared" si="8"/>
        <v>0</v>
      </c>
    </row>
    <row r="65" spans="2:10" ht="12.75">
      <c r="B65" s="30">
        <v>6</v>
      </c>
      <c r="D65" s="8">
        <f t="shared" si="8"/>
        <v>0</v>
      </c>
      <c r="E65" s="8">
        <f t="shared" si="8"/>
        <v>0</v>
      </c>
      <c r="F65" s="8">
        <f t="shared" si="8"/>
        <v>0</v>
      </c>
      <c r="G65" s="8">
        <f t="shared" si="8"/>
        <v>0</v>
      </c>
      <c r="H65" s="8">
        <f t="shared" si="8"/>
        <v>0</v>
      </c>
      <c r="I65" s="8">
        <f t="shared" si="8"/>
        <v>0</v>
      </c>
      <c r="J65" s="8">
        <f t="shared" si="8"/>
        <v>0</v>
      </c>
    </row>
    <row r="66" spans="2:10" ht="12.75">
      <c r="B66" s="30">
        <v>7</v>
      </c>
      <c r="D66" s="8">
        <f t="shared" si="8"/>
        <v>0</v>
      </c>
      <c r="E66" s="8">
        <f t="shared" si="8"/>
        <v>0</v>
      </c>
      <c r="F66" s="8">
        <f t="shared" si="8"/>
        <v>0</v>
      </c>
      <c r="G66" s="8">
        <f t="shared" si="8"/>
        <v>0</v>
      </c>
      <c r="H66" s="8">
        <f t="shared" si="8"/>
        <v>0</v>
      </c>
      <c r="I66" s="8">
        <f t="shared" si="8"/>
        <v>0</v>
      </c>
      <c r="J66" s="8">
        <f t="shared" si="8"/>
        <v>0</v>
      </c>
    </row>
    <row r="67" spans="2:10" ht="12.75">
      <c r="B67" s="30">
        <v>8</v>
      </c>
      <c r="D67" s="8">
        <f t="shared" si="8"/>
        <v>0</v>
      </c>
      <c r="E67" s="8">
        <f t="shared" si="8"/>
        <v>0</v>
      </c>
      <c r="F67" s="8">
        <f t="shared" si="8"/>
        <v>0</v>
      </c>
      <c r="G67" s="8">
        <f t="shared" si="8"/>
        <v>0</v>
      </c>
      <c r="H67" s="8">
        <f t="shared" si="8"/>
        <v>0</v>
      </c>
      <c r="I67" s="8">
        <f t="shared" si="8"/>
        <v>0</v>
      </c>
      <c r="J67" s="8">
        <f t="shared" si="8"/>
        <v>0</v>
      </c>
    </row>
    <row r="68" spans="2:10" ht="12.75">
      <c r="B68" s="30">
        <v>9</v>
      </c>
      <c r="D68" s="8">
        <f t="shared" si="8"/>
        <v>0</v>
      </c>
      <c r="E68" s="8">
        <f t="shared" si="8"/>
        <v>0</v>
      </c>
      <c r="F68" s="8">
        <f t="shared" si="8"/>
        <v>0</v>
      </c>
      <c r="G68" s="8">
        <f t="shared" si="8"/>
        <v>0</v>
      </c>
      <c r="H68" s="8">
        <f t="shared" si="8"/>
        <v>0</v>
      </c>
      <c r="I68" s="8">
        <f t="shared" si="8"/>
        <v>0</v>
      </c>
      <c r="J68" s="8">
        <f t="shared" si="8"/>
        <v>0</v>
      </c>
    </row>
    <row r="69" spans="2:10" ht="12.75">
      <c r="B69" s="30">
        <v>10</v>
      </c>
      <c r="D69" s="8">
        <f t="shared" si="8"/>
        <v>8.663299999999936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</row>
    <row r="70" spans="2:10" ht="12.75">
      <c r="B70" s="30">
        <v>11</v>
      </c>
      <c r="D70" s="8">
        <f aca="true" t="shared" si="9" ref="D70:J79">MAX(0,MIN($H36-D$53*$H$5,D$52*$H$5))</f>
        <v>58.663299999999936</v>
      </c>
      <c r="E70" s="8">
        <f t="shared" si="9"/>
        <v>0</v>
      </c>
      <c r="F70" s="8">
        <f t="shared" si="9"/>
        <v>0</v>
      </c>
      <c r="G70" s="8">
        <f t="shared" si="9"/>
        <v>0</v>
      </c>
      <c r="H70" s="8">
        <f t="shared" si="9"/>
        <v>0</v>
      </c>
      <c r="I70" s="8">
        <f t="shared" si="9"/>
        <v>0</v>
      </c>
      <c r="J70" s="8">
        <f t="shared" si="9"/>
        <v>0</v>
      </c>
    </row>
    <row r="71" spans="2:10" ht="12.75">
      <c r="B71" s="30">
        <v>12</v>
      </c>
      <c r="D71" s="8">
        <f t="shared" si="9"/>
        <v>108.66329999999994</v>
      </c>
      <c r="E71" s="8">
        <f t="shared" si="9"/>
        <v>0</v>
      </c>
      <c r="F71" s="8">
        <f t="shared" si="9"/>
        <v>0</v>
      </c>
      <c r="G71" s="8">
        <f t="shared" si="9"/>
        <v>0</v>
      </c>
      <c r="H71" s="8">
        <f t="shared" si="9"/>
        <v>0</v>
      </c>
      <c r="I71" s="8">
        <f t="shared" si="9"/>
        <v>0</v>
      </c>
      <c r="J71" s="8">
        <f t="shared" si="9"/>
        <v>0</v>
      </c>
    </row>
    <row r="72" spans="2:10" ht="12.75">
      <c r="B72" s="30">
        <v>13</v>
      </c>
      <c r="D72" s="8">
        <f t="shared" si="9"/>
        <v>208.66329999999994</v>
      </c>
      <c r="E72" s="8">
        <f t="shared" si="9"/>
        <v>0</v>
      </c>
      <c r="F72" s="8">
        <f t="shared" si="9"/>
        <v>0</v>
      </c>
      <c r="G72" s="8">
        <f t="shared" si="9"/>
        <v>0</v>
      </c>
      <c r="H72" s="8">
        <f t="shared" si="9"/>
        <v>0</v>
      </c>
      <c r="I72" s="8">
        <f t="shared" si="9"/>
        <v>0</v>
      </c>
      <c r="J72" s="8">
        <f t="shared" si="9"/>
        <v>0</v>
      </c>
    </row>
    <row r="73" spans="2:10" ht="12.75">
      <c r="B73" s="30">
        <v>14</v>
      </c>
      <c r="D73" s="8">
        <f t="shared" si="9"/>
        <v>308.66329999999994</v>
      </c>
      <c r="E73" s="8">
        <f t="shared" si="9"/>
        <v>0</v>
      </c>
      <c r="F73" s="8">
        <f t="shared" si="9"/>
        <v>0</v>
      </c>
      <c r="G73" s="8">
        <f t="shared" si="9"/>
        <v>0</v>
      </c>
      <c r="H73" s="8">
        <f t="shared" si="9"/>
        <v>0</v>
      </c>
      <c r="I73" s="8">
        <f t="shared" si="9"/>
        <v>0</v>
      </c>
      <c r="J73" s="8">
        <f t="shared" si="9"/>
        <v>0</v>
      </c>
    </row>
    <row r="74" spans="2:10" ht="12.75">
      <c r="B74" s="30">
        <v>15</v>
      </c>
      <c r="D74" s="8">
        <f t="shared" si="9"/>
        <v>408.66329999999994</v>
      </c>
      <c r="E74" s="8">
        <f t="shared" si="9"/>
        <v>0</v>
      </c>
      <c r="F74" s="8">
        <f t="shared" si="9"/>
        <v>0</v>
      </c>
      <c r="G74" s="8">
        <f t="shared" si="9"/>
        <v>0</v>
      </c>
      <c r="H74" s="8">
        <f t="shared" si="9"/>
        <v>0</v>
      </c>
      <c r="I74" s="8">
        <f t="shared" si="9"/>
        <v>0</v>
      </c>
      <c r="J74" s="8">
        <f t="shared" si="9"/>
        <v>0</v>
      </c>
    </row>
    <row r="75" spans="2:10" ht="12.75">
      <c r="B75" s="30">
        <v>16</v>
      </c>
      <c r="D75" s="8">
        <f t="shared" si="9"/>
        <v>508.66329999999994</v>
      </c>
      <c r="E75" s="8">
        <f t="shared" si="9"/>
        <v>0</v>
      </c>
      <c r="F75" s="8">
        <f t="shared" si="9"/>
        <v>0</v>
      </c>
      <c r="G75" s="8">
        <f t="shared" si="9"/>
        <v>0</v>
      </c>
      <c r="H75" s="8">
        <f t="shared" si="9"/>
        <v>0</v>
      </c>
      <c r="I75" s="8">
        <f t="shared" si="9"/>
        <v>0</v>
      </c>
      <c r="J75" s="8">
        <f t="shared" si="9"/>
        <v>0</v>
      </c>
    </row>
    <row r="76" spans="2:10" ht="12.75">
      <c r="B76" s="30">
        <v>17</v>
      </c>
      <c r="D76" s="8">
        <f t="shared" si="9"/>
        <v>608.6632999999999</v>
      </c>
      <c r="E76" s="8">
        <f t="shared" si="9"/>
        <v>0</v>
      </c>
      <c r="F76" s="8">
        <f t="shared" si="9"/>
        <v>0</v>
      </c>
      <c r="G76" s="8">
        <f t="shared" si="9"/>
        <v>0</v>
      </c>
      <c r="H76" s="8">
        <f t="shared" si="9"/>
        <v>0</v>
      </c>
      <c r="I76" s="8">
        <f t="shared" si="9"/>
        <v>0</v>
      </c>
      <c r="J76" s="8">
        <f t="shared" si="9"/>
        <v>0</v>
      </c>
    </row>
    <row r="77" spans="2:10" ht="12.75">
      <c r="B77" s="30">
        <v>18</v>
      </c>
      <c r="D77" s="8">
        <f t="shared" si="9"/>
        <v>708.6632999999999</v>
      </c>
      <c r="E77" s="8">
        <f t="shared" si="9"/>
        <v>0</v>
      </c>
      <c r="F77" s="8">
        <f t="shared" si="9"/>
        <v>0</v>
      </c>
      <c r="G77" s="8">
        <f t="shared" si="9"/>
        <v>0</v>
      </c>
      <c r="H77" s="8">
        <f t="shared" si="9"/>
        <v>0</v>
      </c>
      <c r="I77" s="8">
        <f t="shared" si="9"/>
        <v>0</v>
      </c>
      <c r="J77" s="8">
        <f t="shared" si="9"/>
        <v>0</v>
      </c>
    </row>
    <row r="78" spans="2:10" ht="12.75">
      <c r="B78" s="30">
        <v>19</v>
      </c>
      <c r="D78" s="8">
        <f t="shared" si="9"/>
        <v>808.6632999999999</v>
      </c>
      <c r="E78" s="8">
        <f t="shared" si="9"/>
        <v>0</v>
      </c>
      <c r="F78" s="8">
        <f t="shared" si="9"/>
        <v>0</v>
      </c>
      <c r="G78" s="8">
        <f t="shared" si="9"/>
        <v>0</v>
      </c>
      <c r="H78" s="8">
        <f t="shared" si="9"/>
        <v>0</v>
      </c>
      <c r="I78" s="8">
        <f t="shared" si="9"/>
        <v>0</v>
      </c>
      <c r="J78" s="8">
        <f t="shared" si="9"/>
        <v>0</v>
      </c>
    </row>
    <row r="79" spans="2:10" ht="12.75">
      <c r="B79" s="37">
        <v>20</v>
      </c>
      <c r="D79" s="8">
        <f t="shared" si="9"/>
        <v>900</v>
      </c>
      <c r="E79" s="8">
        <f t="shared" si="9"/>
        <v>8.663299999999936</v>
      </c>
      <c r="F79" s="8">
        <f t="shared" si="9"/>
        <v>0</v>
      </c>
      <c r="G79" s="8">
        <f t="shared" si="9"/>
        <v>0</v>
      </c>
      <c r="H79" s="8">
        <f t="shared" si="9"/>
        <v>0</v>
      </c>
      <c r="I79" s="8">
        <f t="shared" si="9"/>
        <v>0</v>
      </c>
      <c r="J79" s="8">
        <f t="shared" si="9"/>
        <v>0</v>
      </c>
    </row>
    <row r="80" spans="4:10" ht="12.75">
      <c r="D80" s="8"/>
      <c r="E80" s="8"/>
      <c r="F80" s="8"/>
      <c r="G80" s="8"/>
      <c r="H80" s="8"/>
      <c r="I80" s="8"/>
      <c r="J80" s="8"/>
    </row>
    <row r="81" ht="13.5" thickBot="1"/>
    <row r="82" spans="1:11" ht="16.5" thickTop="1">
      <c r="A82" s="77" t="str">
        <f>"["&amp;TEXT(VALUE(MID(J55,2,LEN(J55)-2))+1,"#")&amp;"]"</f>
        <v>[33]</v>
      </c>
      <c r="B82" s="60" t="s">
        <v>40</v>
      </c>
      <c r="C82" s="21"/>
      <c r="D82" s="93">
        <f aca="true" t="shared" si="10" ref="D82:J82">SUMPRODUCT($C26:$C45,D60:D79)</f>
        <v>88.51235699999998</v>
      </c>
      <c r="E82" s="93">
        <f t="shared" si="10"/>
        <v>0.08663299999999936</v>
      </c>
      <c r="F82" s="93">
        <f t="shared" si="10"/>
        <v>0</v>
      </c>
      <c r="G82" s="93">
        <f t="shared" si="10"/>
        <v>0</v>
      </c>
      <c r="H82" s="93">
        <f t="shared" si="10"/>
        <v>0</v>
      </c>
      <c r="I82" s="93">
        <f t="shared" si="10"/>
        <v>0</v>
      </c>
      <c r="J82" s="94">
        <f t="shared" si="10"/>
        <v>0</v>
      </c>
      <c r="K82" s="49" t="s">
        <v>66</v>
      </c>
    </row>
    <row r="83" spans="1:11" ht="16.5" thickBot="1">
      <c r="A83" s="61" t="str">
        <f>"["&amp;TEXT(VALUE(MID(A82,2,LEN(A82)-2))+1,"#")&amp;"]"</f>
        <v>[34]</v>
      </c>
      <c r="B83" s="62" t="s">
        <v>25</v>
      </c>
      <c r="C83" s="22"/>
      <c r="D83" s="95">
        <f aca="true" t="shared" si="11" ref="D83:J83">D$82/$H$5/D$52</f>
        <v>0.09834706333333332</v>
      </c>
      <c r="E83" s="95">
        <f t="shared" si="11"/>
        <v>9.625888888888818E-05</v>
      </c>
      <c r="F83" s="95">
        <f t="shared" si="11"/>
        <v>0</v>
      </c>
      <c r="G83" s="95">
        <f t="shared" si="11"/>
        <v>0</v>
      </c>
      <c r="H83" s="95">
        <f t="shared" si="11"/>
        <v>0</v>
      </c>
      <c r="I83" s="95">
        <f t="shared" si="11"/>
        <v>0</v>
      </c>
      <c r="J83" s="96">
        <f t="shared" si="11"/>
        <v>0</v>
      </c>
      <c r="K83" s="50" t="str">
        <f>"="&amp;A82&amp;" / "&amp;E5&amp;" / "&amp;B52</f>
        <v>=[33] / [1] / [24]</v>
      </c>
    </row>
    <row r="84" spans="1:11" ht="15.75">
      <c r="A84" s="61" t="str">
        <f>"["&amp;TEXT(VALUE(MID(A83,2,LEN(A83)-2))+1,"#")&amp;"]"</f>
        <v>[35]</v>
      </c>
      <c r="B84" s="63" t="s">
        <v>26</v>
      </c>
      <c r="C84" s="22"/>
      <c r="D84" s="18">
        <v>0.1</v>
      </c>
      <c r="E84" s="19">
        <v>0.25</v>
      </c>
      <c r="F84" s="19">
        <v>0.5</v>
      </c>
      <c r="G84" s="19">
        <v>0.75</v>
      </c>
      <c r="H84" s="19">
        <v>1</v>
      </c>
      <c r="I84" s="19">
        <v>2</v>
      </c>
      <c r="J84" s="78">
        <v>4</v>
      </c>
      <c r="K84" s="80" t="s">
        <v>41</v>
      </c>
    </row>
    <row r="85" spans="1:11" ht="16.5" thickBot="1">
      <c r="A85" s="61" t="str">
        <f>"["&amp;TEXT(VALUE(MID(A84,2,LEN(A84)-2))+1,"#")&amp;"]"</f>
        <v>[36]</v>
      </c>
      <c r="B85" s="63" t="s">
        <v>27</v>
      </c>
      <c r="C85" s="22"/>
      <c r="D85" s="16">
        <v>0.001</v>
      </c>
      <c r="E85" s="17">
        <v>0.001</v>
      </c>
      <c r="F85" s="17">
        <v>0.001</v>
      </c>
      <c r="G85" s="17">
        <v>0.001</v>
      </c>
      <c r="H85" s="17">
        <v>0.001</v>
      </c>
      <c r="I85" s="17">
        <v>0.001</v>
      </c>
      <c r="J85" s="79">
        <v>0.001</v>
      </c>
      <c r="K85" s="80" t="s">
        <v>41</v>
      </c>
    </row>
    <row r="86" spans="1:11" ht="15.75">
      <c r="A86" s="61" t="str">
        <f>"["&amp;TEXT(VALUE(MID(A85,2,LEN(A85)-2))+1,"#")&amp;"]"</f>
        <v>[37]</v>
      </c>
      <c r="B86" s="64" t="s">
        <v>34</v>
      </c>
      <c r="C86" s="22"/>
      <c r="D86" s="95">
        <f>IF(D83&gt;0,D85+(1+D84)*D83,0)</f>
        <v>0.10918176966666666</v>
      </c>
      <c r="E86" s="95">
        <f aca="true" t="shared" si="12" ref="E86:J86">IF(E83&gt;0,E85+(1+E84)*E83,0)</f>
        <v>0.0011203236111111102</v>
      </c>
      <c r="F86" s="95">
        <f t="shared" si="12"/>
        <v>0</v>
      </c>
      <c r="G86" s="95">
        <f t="shared" si="12"/>
        <v>0</v>
      </c>
      <c r="H86" s="95">
        <f t="shared" si="12"/>
        <v>0</v>
      </c>
      <c r="I86" s="95">
        <f t="shared" si="12"/>
        <v>0</v>
      </c>
      <c r="J86" s="96">
        <f t="shared" si="12"/>
        <v>0</v>
      </c>
      <c r="K86" s="50" t="str">
        <f>"="&amp;A83&amp;" *(1+"&amp;A84&amp;" ) + "&amp;A85</f>
        <v>=[34] *(1+[35] ) + [36]</v>
      </c>
    </row>
    <row r="87" spans="1:11" ht="16.5" thickBot="1">
      <c r="A87" s="65" t="str">
        <f>"["&amp;TEXT(VALUE(MID(A86,2,LEN(A86)-2))+1,"#")&amp;"]"</f>
        <v>[38]</v>
      </c>
      <c r="B87" s="66" t="s">
        <v>7</v>
      </c>
      <c r="C87" s="25"/>
      <c r="D87" s="97">
        <f aca="true" t="shared" si="13" ref="D87:J87">D86*D52*$H5</f>
        <v>98.2635927</v>
      </c>
      <c r="E87" s="97">
        <f t="shared" si="13"/>
        <v>1.0082912499999992</v>
      </c>
      <c r="F87" s="97">
        <f t="shared" si="13"/>
        <v>0</v>
      </c>
      <c r="G87" s="97">
        <f t="shared" si="13"/>
        <v>0</v>
      </c>
      <c r="H87" s="97">
        <f t="shared" si="13"/>
        <v>0</v>
      </c>
      <c r="I87" s="97">
        <f t="shared" si="13"/>
        <v>0</v>
      </c>
      <c r="J87" s="98">
        <f t="shared" si="13"/>
        <v>0</v>
      </c>
      <c r="K87" s="81" t="str">
        <f>"="&amp;A86&amp;" * "&amp;E5&amp;" * "&amp;B52</f>
        <v>=[37] * [1] * [24]</v>
      </c>
    </row>
    <row r="88" ht="16.5" thickTop="1">
      <c r="A88" s="33"/>
    </row>
  </sheetData>
  <printOptions horizontalCentered="1" verticalCentered="1"/>
  <pageMargins left="0.75" right="0.75" top="0.49" bottom="0.5" header="0.5" footer="0.5"/>
  <pageSetup fitToHeight="2" fitToWidth="1" horizontalDpi="300" verticalDpi="300" orientation="landscape" scale="79" r:id="rId1"/>
  <headerFooter alignWithMargins="0">
    <oddHeader>&amp;R&amp;"Arial,Bold Italic"&amp;14Page &amp;P of &amp;N</oddHeader>
  </headerFooter>
  <rowBreaks count="1" manualBreakCount="1">
    <brk id="4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1511">
    <pageSetUpPr fitToPage="1"/>
  </sheetPr>
  <dimension ref="A1:L8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13.421875" style="0" customWidth="1"/>
    <col min="3" max="4" width="13.00390625" style="0" customWidth="1"/>
    <col min="5" max="5" width="13.28125" style="0" customWidth="1"/>
    <col min="6" max="6" width="15.7109375" style="0" customWidth="1"/>
    <col min="7" max="7" width="13.8515625" style="0" customWidth="1"/>
    <col min="8" max="8" width="12.140625" style="0" customWidth="1"/>
    <col min="9" max="9" width="15.421875" style="0" customWidth="1"/>
    <col min="10" max="10" width="13.7109375" style="0" customWidth="1"/>
    <col min="11" max="11" width="19.8515625" style="0" customWidth="1"/>
    <col min="12" max="12" width="14.140625" style="0" customWidth="1"/>
    <col min="13" max="16" width="11.421875" style="0" customWidth="1"/>
    <col min="17" max="17" width="11.7109375" style="0" customWidth="1"/>
  </cols>
  <sheetData>
    <row r="1" spans="1:12" ht="26.25">
      <c r="A1" s="43" t="s">
        <v>56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6.25">
      <c r="A2" s="45" t="s">
        <v>47</v>
      </c>
      <c r="B2" s="44"/>
      <c r="C2" s="44"/>
      <c r="D2" s="44"/>
      <c r="E2" s="44"/>
      <c r="F2" s="45"/>
      <c r="G2" s="44"/>
      <c r="H2" s="44"/>
      <c r="I2" s="44"/>
      <c r="J2" s="44"/>
      <c r="K2" s="44"/>
      <c r="L2" s="44"/>
    </row>
    <row r="3" ht="13.5" thickBot="1">
      <c r="A3" s="1"/>
    </row>
    <row r="4" spans="1:11" ht="20.25" thickBot="1" thickTop="1">
      <c r="A4" s="1"/>
      <c r="E4" s="52"/>
      <c r="F4" s="55"/>
      <c r="G4" s="55" t="s">
        <v>32</v>
      </c>
      <c r="H4" s="54"/>
      <c r="I4" s="59"/>
      <c r="J4" s="13"/>
      <c r="K4" s="22"/>
    </row>
    <row r="5" spans="1:12" ht="17.25" thickBot="1" thickTop="1">
      <c r="A5" s="1"/>
      <c r="E5" s="106" t="s">
        <v>31</v>
      </c>
      <c r="F5" s="111" t="s">
        <v>75</v>
      </c>
      <c r="G5" s="115"/>
      <c r="H5" s="116">
        <v>4445</v>
      </c>
      <c r="I5" s="117" t="s">
        <v>41</v>
      </c>
      <c r="L5" s="40"/>
    </row>
    <row r="6" spans="1:9" ht="16.5" thickBot="1">
      <c r="A6" s="1"/>
      <c r="E6" s="106" t="str">
        <f>"["&amp;TEXT(VALUE(MID(E5,2,LEN(E5)-2))+1,"#")&amp;"]"</f>
        <v>[2]</v>
      </c>
      <c r="F6" s="110" t="s">
        <v>18</v>
      </c>
      <c r="G6" s="115"/>
      <c r="H6" s="118">
        <v>0.081</v>
      </c>
      <c r="I6" s="87" t="s">
        <v>41</v>
      </c>
    </row>
    <row r="7" spans="1:9" ht="16.5" thickBot="1">
      <c r="A7" s="1"/>
      <c r="E7" s="35" t="str">
        <f>"["&amp;TEXT(VALUE(MID(E6,2,LEN(E6)-2))+1,"#")&amp;"]"</f>
        <v>[3]</v>
      </c>
      <c r="F7" s="22" t="s">
        <v>21</v>
      </c>
      <c r="G7" s="124"/>
      <c r="H7" s="125">
        <v>1000</v>
      </c>
      <c r="I7" s="87" t="s">
        <v>41</v>
      </c>
    </row>
    <row r="8" spans="1:9" ht="16.5" thickBot="1">
      <c r="A8" s="1"/>
      <c r="E8" s="36" t="str">
        <f>"["&amp;TEXT(VALUE(MID(E7,2,LEN(E7)-2))+1,"#")&amp;"]"</f>
        <v>[4]</v>
      </c>
      <c r="F8" s="25" t="s">
        <v>64</v>
      </c>
      <c r="G8" s="26"/>
      <c r="H8" s="126">
        <v>0.05</v>
      </c>
      <c r="I8" s="86" t="s">
        <v>41</v>
      </c>
    </row>
    <row r="9" spans="1:11" ht="17.25" thickBot="1" thickTop="1">
      <c r="A9" s="1"/>
      <c r="C9" s="41"/>
      <c r="D9" s="22"/>
      <c r="E9" s="13"/>
      <c r="F9" s="13"/>
      <c r="H9" s="41"/>
      <c r="I9" s="28"/>
      <c r="J9" s="22"/>
      <c r="K9" s="32"/>
    </row>
    <row r="10" spans="1:11" ht="20.25" thickBot="1" thickTop="1">
      <c r="A10" s="1"/>
      <c r="B10" s="52"/>
      <c r="C10" s="53"/>
      <c r="D10" s="54"/>
      <c r="E10" s="21"/>
      <c r="F10" s="55"/>
      <c r="G10" s="55" t="s">
        <v>33</v>
      </c>
      <c r="H10" s="53"/>
      <c r="I10" s="56"/>
      <c r="J10" s="54"/>
      <c r="K10" s="57"/>
    </row>
    <row r="11" spans="1:11" ht="16.5" thickTop="1">
      <c r="A11" s="1"/>
      <c r="B11" s="46" t="str">
        <f>"["&amp;TEXT(VALUE(MID(E8,2,LEN(E8)-2))+1,"#")&amp;"]"</f>
        <v>[5]</v>
      </c>
      <c r="C11" s="47" t="s">
        <v>19</v>
      </c>
      <c r="D11" s="48"/>
      <c r="E11" s="99">
        <f>H6*E12</f>
        <v>59.2515</v>
      </c>
      <c r="F11" s="49" t="str">
        <f>"="&amp;E6&amp;" * "&amp;B12</f>
        <v>=[2] * [6]</v>
      </c>
      <c r="G11" s="46" t="str">
        <f>"["&amp;TEXT(VALUE(MID(B15,2,LEN(B15)-2))+1,"#")&amp;"]"</f>
        <v>[10]</v>
      </c>
      <c r="H11" s="21" t="s">
        <v>39</v>
      </c>
      <c r="I11" s="21"/>
      <c r="J11" s="93">
        <f>SUMPRODUCT($C26:$C45,I26:I45)</f>
        <v>4766.039074999998</v>
      </c>
      <c r="K11" s="49" t="str">
        <f>"=E{ "&amp;I18&amp;" }"</f>
        <v>=E{ [22] }</v>
      </c>
    </row>
    <row r="12" spans="1:11" ht="15.75">
      <c r="A12" s="1"/>
      <c r="B12" s="35" t="str">
        <f>"["&amp;TEXT(VALUE(MID(B11,2,LEN(B11)-2))+1,"#")&amp;"]"</f>
        <v>[6]</v>
      </c>
      <c r="C12" s="28" t="s">
        <v>37</v>
      </c>
      <c r="D12" s="22"/>
      <c r="E12" s="14">
        <f>SUMPRODUCT($C26:$C45,F26:F45)</f>
        <v>731.5</v>
      </c>
      <c r="F12" s="50" t="str">
        <f>"=E{ "&amp;F18&amp;" }"</f>
        <v>=E{ [19] }</v>
      </c>
      <c r="G12" s="106" t="str">
        <f>"["&amp;TEXT(VALUE(MID(G11,2,LEN(G11)-2))+1,"#")&amp;"]"</f>
        <v>[11]</v>
      </c>
      <c r="H12" s="110" t="s">
        <v>20</v>
      </c>
      <c r="I12" s="111"/>
      <c r="J12" s="107">
        <f>J11/H5-1</f>
        <v>0.07222476377952702</v>
      </c>
      <c r="K12" s="112" t="str">
        <f>"="&amp;G11&amp;" / "&amp;E5&amp;" - 1.00"</f>
        <v>=[10] / [1] - 1.00</v>
      </c>
    </row>
    <row r="13" spans="1:11" ht="15.75">
      <c r="A13" s="1"/>
      <c r="B13" s="35" t="str">
        <f>"["&amp;TEXT(VALUE(MID(B12,2,LEN(B12)-2))+1,"#")&amp;"]"</f>
        <v>[7]</v>
      </c>
      <c r="C13" s="28" t="s">
        <v>22</v>
      </c>
      <c r="D13" s="22"/>
      <c r="E13" s="100">
        <f>E11+H5+E12</f>
        <v>5235.7515</v>
      </c>
      <c r="F13" s="50" t="str">
        <f>"="&amp;E5&amp;" +"&amp;B11&amp;" +"&amp;B12</f>
        <v>=[1] +[5] +[6]</v>
      </c>
      <c r="G13" s="35" t="str">
        <f>"["&amp;TEXT(VALUE(MID(G12,2,LEN(G12)-2))+1,"#")&amp;"]"</f>
        <v>[12]</v>
      </c>
      <c r="H13" s="27" t="s">
        <v>35</v>
      </c>
      <c r="I13" s="22"/>
      <c r="J13" s="102">
        <f>SUM(D87:J87)</f>
        <v>98.76325500000002</v>
      </c>
      <c r="K13" s="50" t="str">
        <f>"=Sum{ "&amp;A87&amp;" }"</f>
        <v>=Sum{ [38] }</v>
      </c>
    </row>
    <row r="14" spans="1:11" ht="15.75">
      <c r="A14" s="1"/>
      <c r="B14" s="35" t="str">
        <f>"["&amp;TEXT(VALUE(MID(B13,2,LEN(B13)-2))+1,"#")&amp;"]"</f>
        <v>[8]</v>
      </c>
      <c r="C14" s="28" t="s">
        <v>38</v>
      </c>
      <c r="D14" s="22"/>
      <c r="E14" s="14">
        <f>SUMPRODUCT($C26:$C45,H26:H45)</f>
        <v>88.77455</v>
      </c>
      <c r="F14" s="50" t="str">
        <f>"=E{ "&amp;H18&amp;" }"</f>
        <v>=E{ [21] }</v>
      </c>
      <c r="G14" s="106" t="str">
        <f>"["&amp;TEXT(VALUE(MID(G13,2,LEN(G13)-2))+1,"#")&amp;"]"</f>
        <v>[13]</v>
      </c>
      <c r="H14" s="111" t="s">
        <v>8</v>
      </c>
      <c r="I14" s="111"/>
      <c r="J14" s="107">
        <f>J13/H5+H8</f>
        <v>0.07221895500562431</v>
      </c>
      <c r="K14" s="112" t="str">
        <f>"="&amp;G13&amp;" / "&amp;E5&amp;" + "&amp;E8</f>
        <v>=[12] / [1] + [4]</v>
      </c>
    </row>
    <row r="15" spans="1:11" ht="16.5" thickBot="1">
      <c r="A15" s="1"/>
      <c r="B15" s="108" t="str">
        <f>"["&amp;TEXT(VALUE(MID(B14,2,LEN(B14)-2))+1,"#")&amp;"]"</f>
        <v>[9]</v>
      </c>
      <c r="C15" s="113" t="s">
        <v>65</v>
      </c>
      <c r="D15" s="113"/>
      <c r="E15" s="109">
        <f>E14/H5</f>
        <v>0.01997177727784027</v>
      </c>
      <c r="F15" s="114" t="str">
        <f>"="&amp;B14&amp;" / "&amp;E5</f>
        <v>=[8] / [1]</v>
      </c>
      <c r="G15" s="108" t="str">
        <f>"["&amp;TEXT(VALUE(MID(G14,2,LEN(G14)-2))+1,"#")&amp;"]"</f>
        <v>[14]</v>
      </c>
      <c r="H15" s="113" t="s">
        <v>52</v>
      </c>
      <c r="I15" s="113"/>
      <c r="J15" s="109">
        <f>J14-E15-H8</f>
        <v>0.0022471777277840305</v>
      </c>
      <c r="K15" s="114" t="str">
        <f>"="&amp;G14&amp;" - "&amp;B15&amp;" - "&amp;E8</f>
        <v>=[13] - [9] - [4]</v>
      </c>
    </row>
    <row r="16" spans="1:8" ht="16.5" thickTop="1">
      <c r="A16" s="1"/>
      <c r="H16" s="41"/>
    </row>
    <row r="17" ht="12.75">
      <c r="A17" s="1"/>
    </row>
    <row r="18" spans="2:10" ht="15.75">
      <c r="B18" s="34" t="str">
        <f>"["&amp;TEXT(VALUE(MID(G15,2,LEN(G15)-2))+1,"#")&amp;"]"</f>
        <v>[15]</v>
      </c>
      <c r="C18" s="34" t="str">
        <f aca="true" t="shared" si="0" ref="C18:J18">"["&amp;TEXT(VALUE(MID(B18,2,LEN(B18)-2))+1,"#")&amp;"]"</f>
        <v>[16]</v>
      </c>
      <c r="D18" s="34" t="str">
        <f t="shared" si="0"/>
        <v>[17]</v>
      </c>
      <c r="E18" s="34" t="str">
        <f t="shared" si="0"/>
        <v>[18]</v>
      </c>
      <c r="F18" s="34" t="str">
        <f t="shared" si="0"/>
        <v>[19]</v>
      </c>
      <c r="G18" s="34" t="str">
        <f t="shared" si="0"/>
        <v>[20]</v>
      </c>
      <c r="H18" s="34" t="str">
        <f t="shared" si="0"/>
        <v>[21]</v>
      </c>
      <c r="I18" s="34" t="str">
        <f t="shared" si="0"/>
        <v>[22]</v>
      </c>
      <c r="J18" s="34" t="str">
        <f t="shared" si="0"/>
        <v>[23]</v>
      </c>
    </row>
    <row r="19" spans="2:10" ht="12.75" customHeight="1">
      <c r="B19" s="34"/>
      <c r="C19" s="34"/>
      <c r="D19" s="34"/>
      <c r="E19" s="34"/>
      <c r="F19" s="34"/>
      <c r="G19" s="34"/>
      <c r="H19" s="34"/>
      <c r="I19" s="34"/>
      <c r="J19" s="34"/>
    </row>
    <row r="20" spans="2:10" ht="12.75">
      <c r="B20" s="31"/>
      <c r="C20" s="31"/>
      <c r="D20" s="31"/>
      <c r="E20" s="31"/>
      <c r="F20" s="31"/>
      <c r="G20" s="31" t="s">
        <v>43</v>
      </c>
      <c r="H20" s="31"/>
      <c r="I20" s="31"/>
      <c r="J20" s="30"/>
    </row>
    <row r="21" spans="2:10" ht="12.75">
      <c r="B21" s="31"/>
      <c r="C21" s="38"/>
      <c r="D21" s="31"/>
      <c r="E21" s="31"/>
      <c r="F21" s="31"/>
      <c r="G21" s="31" t="s">
        <v>28</v>
      </c>
      <c r="H21" s="31"/>
      <c r="I21" s="31"/>
      <c r="J21" s="31"/>
    </row>
    <row r="22" spans="2:10" ht="12.75">
      <c r="B22" s="39" t="s">
        <v>68</v>
      </c>
      <c r="C22" s="39" t="s">
        <v>3</v>
      </c>
      <c r="D22" s="39" t="s">
        <v>4</v>
      </c>
      <c r="E22" s="39" t="s">
        <v>24</v>
      </c>
      <c r="F22" s="39" t="s">
        <v>5</v>
      </c>
      <c r="G22" s="31" t="s">
        <v>29</v>
      </c>
      <c r="H22" s="39" t="s">
        <v>6</v>
      </c>
      <c r="I22" s="39" t="s">
        <v>16</v>
      </c>
      <c r="J22" s="39" t="s">
        <v>17</v>
      </c>
    </row>
    <row r="23" spans="3:10" ht="12.75">
      <c r="C23" s="85" t="s">
        <v>41</v>
      </c>
      <c r="D23" s="42" t="s">
        <v>36</v>
      </c>
      <c r="E23" s="85" t="s">
        <v>41</v>
      </c>
      <c r="F23" s="42" t="str">
        <f>"="&amp;E7&amp;" * "&amp;E18</f>
        <v>=[3] * [18]</v>
      </c>
      <c r="G23" s="42" t="str">
        <f>"="&amp;B11&amp;" + "&amp;B12</f>
        <v>=[5] + [6]</v>
      </c>
      <c r="H23" s="42" t="s">
        <v>42</v>
      </c>
      <c r="I23" s="42" t="str">
        <f>"="&amp;B13&amp;" * (1.00 + "&amp;E8&amp;" )"</f>
        <v>=[7] * (1.00 + [4] )</v>
      </c>
      <c r="J23" s="42" t="str">
        <f>"="&amp;H18&amp;" / "&amp;E5</f>
        <v>=[21] / [1]</v>
      </c>
    </row>
    <row r="24" spans="4:10" ht="12.75">
      <c r="D24" s="42" t="str">
        <f>"of "&amp;C18</f>
        <v>of [16]</v>
      </c>
      <c r="E24" s="82"/>
      <c r="F24" s="82"/>
      <c r="G24" s="82"/>
      <c r="H24" s="42" t="str">
        <f>F18&amp;" - "&amp;G18&amp;" )"</f>
        <v>[19] - [20] )</v>
      </c>
      <c r="I24" s="85" t="str">
        <f>"- "&amp;F18</f>
        <v>- [19]</v>
      </c>
      <c r="J24" s="82"/>
    </row>
    <row r="25" ht="13.5" thickBot="1"/>
    <row r="26" spans="2:10" ht="12.75">
      <c r="B26" s="30">
        <v>1</v>
      </c>
      <c r="C26" s="88">
        <v>0.02</v>
      </c>
      <c r="D26" s="3">
        <f aca="true" t="shared" si="1" ref="D26:D45">C26+D25</f>
        <v>0.02</v>
      </c>
      <c r="E26" s="88">
        <v>0.35</v>
      </c>
      <c r="F26" s="91">
        <f aca="true" t="shared" si="2" ref="F26:F45">E26*$H$7</f>
        <v>350</v>
      </c>
      <c r="G26" s="91">
        <f>(1+H$6)*E$12</f>
        <v>790.7515</v>
      </c>
      <c r="H26" s="91">
        <f aca="true" t="shared" si="3" ref="H26:H45">MAX(F26-G26,0)</f>
        <v>0</v>
      </c>
      <c r="I26" s="91">
        <f>$E$13*(1+$H$8)-F26</f>
        <v>5147.539075000001</v>
      </c>
      <c r="J26" s="92">
        <f aca="true" t="shared" si="4" ref="J26:J45">H26/H$5</f>
        <v>0</v>
      </c>
    </row>
    <row r="27" spans="2:10" ht="12.75">
      <c r="B27" s="30">
        <v>2</v>
      </c>
      <c r="C27" s="89">
        <v>0.04</v>
      </c>
      <c r="D27" s="3">
        <f t="shared" si="1"/>
        <v>0.06</v>
      </c>
      <c r="E27" s="89">
        <v>0.4</v>
      </c>
      <c r="F27" s="91">
        <f t="shared" si="2"/>
        <v>400</v>
      </c>
      <c r="G27" s="91">
        <f aca="true" t="shared" si="5" ref="G27:G45">G26</f>
        <v>790.7515</v>
      </c>
      <c r="H27" s="91">
        <f t="shared" si="3"/>
        <v>0</v>
      </c>
      <c r="I27" s="91">
        <f aca="true" t="shared" si="6" ref="I27:I45">$E$13*(1+$H$8)-F27</f>
        <v>5097.539075000001</v>
      </c>
      <c r="J27" s="92">
        <f t="shared" si="4"/>
        <v>0</v>
      </c>
    </row>
    <row r="28" spans="2:10" ht="12.75">
      <c r="B28" s="30">
        <v>3</v>
      </c>
      <c r="C28" s="89">
        <v>0.06</v>
      </c>
      <c r="D28" s="3">
        <f t="shared" si="1"/>
        <v>0.12</v>
      </c>
      <c r="E28" s="89">
        <v>0.45</v>
      </c>
      <c r="F28" s="91">
        <f t="shared" si="2"/>
        <v>450</v>
      </c>
      <c r="G28" s="91">
        <f t="shared" si="5"/>
        <v>790.7515</v>
      </c>
      <c r="H28" s="91">
        <f t="shared" si="3"/>
        <v>0</v>
      </c>
      <c r="I28" s="91">
        <f t="shared" si="6"/>
        <v>5047.539075000001</v>
      </c>
      <c r="J28" s="92">
        <f t="shared" si="4"/>
        <v>0</v>
      </c>
    </row>
    <row r="29" spans="2:10" ht="12.75">
      <c r="B29" s="30">
        <v>4</v>
      </c>
      <c r="C29" s="89">
        <v>0.1</v>
      </c>
      <c r="D29" s="3">
        <f t="shared" si="1"/>
        <v>0.22</v>
      </c>
      <c r="E29" s="89">
        <v>0.5</v>
      </c>
      <c r="F29" s="91">
        <f t="shared" si="2"/>
        <v>500</v>
      </c>
      <c r="G29" s="91">
        <f t="shared" si="5"/>
        <v>790.7515</v>
      </c>
      <c r="H29" s="91">
        <f t="shared" si="3"/>
        <v>0</v>
      </c>
      <c r="I29" s="91">
        <f t="shared" si="6"/>
        <v>4997.539075000001</v>
      </c>
      <c r="J29" s="92">
        <f t="shared" si="4"/>
        <v>0</v>
      </c>
    </row>
    <row r="30" spans="2:10" ht="12.75">
      <c r="B30" s="30">
        <v>5</v>
      </c>
      <c r="C30" s="89">
        <v>0.11</v>
      </c>
      <c r="D30" s="3">
        <f t="shared" si="1"/>
        <v>0.33</v>
      </c>
      <c r="E30" s="89">
        <v>0.55</v>
      </c>
      <c r="F30" s="91">
        <f t="shared" si="2"/>
        <v>550</v>
      </c>
      <c r="G30" s="91">
        <f t="shared" si="5"/>
        <v>790.7515</v>
      </c>
      <c r="H30" s="91">
        <f t="shared" si="3"/>
        <v>0</v>
      </c>
      <c r="I30" s="91">
        <f t="shared" si="6"/>
        <v>4947.539075000001</v>
      </c>
      <c r="J30" s="92">
        <f t="shared" si="4"/>
        <v>0</v>
      </c>
    </row>
    <row r="31" spans="2:10" ht="12.75">
      <c r="B31" s="30">
        <v>6</v>
      </c>
      <c r="C31" s="89">
        <v>0.12</v>
      </c>
      <c r="D31" s="3">
        <f t="shared" si="1"/>
        <v>0.45</v>
      </c>
      <c r="E31" s="89">
        <v>0.6</v>
      </c>
      <c r="F31" s="91">
        <f t="shared" si="2"/>
        <v>600</v>
      </c>
      <c r="G31" s="91">
        <f t="shared" si="5"/>
        <v>790.7515</v>
      </c>
      <c r="H31" s="91">
        <f t="shared" si="3"/>
        <v>0</v>
      </c>
      <c r="I31" s="91">
        <f t="shared" si="6"/>
        <v>4897.539075000001</v>
      </c>
      <c r="J31" s="92">
        <f t="shared" si="4"/>
        <v>0</v>
      </c>
    </row>
    <row r="32" spans="2:10" ht="12.75">
      <c r="B32" s="30">
        <v>7</v>
      </c>
      <c r="C32" s="89">
        <v>0.1</v>
      </c>
      <c r="D32" s="3">
        <f t="shared" si="1"/>
        <v>0.55</v>
      </c>
      <c r="E32" s="89">
        <v>0.65</v>
      </c>
      <c r="F32" s="91">
        <f t="shared" si="2"/>
        <v>650</v>
      </c>
      <c r="G32" s="91">
        <f t="shared" si="5"/>
        <v>790.7515</v>
      </c>
      <c r="H32" s="91">
        <f t="shared" si="3"/>
        <v>0</v>
      </c>
      <c r="I32" s="91">
        <f t="shared" si="6"/>
        <v>4847.539075000001</v>
      </c>
      <c r="J32" s="92">
        <f t="shared" si="4"/>
        <v>0</v>
      </c>
    </row>
    <row r="33" spans="2:10" ht="12.75">
      <c r="B33" s="30">
        <v>8</v>
      </c>
      <c r="C33" s="89">
        <v>0.09</v>
      </c>
      <c r="D33" s="3">
        <f t="shared" si="1"/>
        <v>0.64</v>
      </c>
      <c r="E33" s="89">
        <v>0.7</v>
      </c>
      <c r="F33" s="91">
        <f t="shared" si="2"/>
        <v>700</v>
      </c>
      <c r="G33" s="91">
        <f t="shared" si="5"/>
        <v>790.7515</v>
      </c>
      <c r="H33" s="91">
        <f t="shared" si="3"/>
        <v>0</v>
      </c>
      <c r="I33" s="91">
        <f t="shared" si="6"/>
        <v>4797.539075000001</v>
      </c>
      <c r="J33" s="92">
        <f t="shared" si="4"/>
        <v>0</v>
      </c>
    </row>
    <row r="34" spans="2:10" ht="12.75">
      <c r="B34" s="30">
        <v>9</v>
      </c>
      <c r="C34" s="89">
        <v>0.06</v>
      </c>
      <c r="D34" s="3">
        <f t="shared" si="1"/>
        <v>0.7</v>
      </c>
      <c r="E34" s="89">
        <v>0.75</v>
      </c>
      <c r="F34" s="91">
        <f t="shared" si="2"/>
        <v>750</v>
      </c>
      <c r="G34" s="91">
        <f t="shared" si="5"/>
        <v>790.7515</v>
      </c>
      <c r="H34" s="91">
        <f t="shared" si="3"/>
        <v>0</v>
      </c>
      <c r="I34" s="91">
        <f t="shared" si="6"/>
        <v>4747.539075000001</v>
      </c>
      <c r="J34" s="92">
        <f t="shared" si="4"/>
        <v>0</v>
      </c>
    </row>
    <row r="35" spans="2:10" ht="12.75">
      <c r="B35" s="30">
        <v>10</v>
      </c>
      <c r="C35" s="89">
        <v>0.05</v>
      </c>
      <c r="D35" s="3">
        <f t="shared" si="1"/>
        <v>0.75</v>
      </c>
      <c r="E35" s="89">
        <v>0.8</v>
      </c>
      <c r="F35" s="91">
        <f t="shared" si="2"/>
        <v>800</v>
      </c>
      <c r="G35" s="91">
        <f t="shared" si="5"/>
        <v>790.7515</v>
      </c>
      <c r="H35" s="91">
        <f t="shared" si="3"/>
        <v>9.248500000000035</v>
      </c>
      <c r="I35" s="91">
        <f t="shared" si="6"/>
        <v>4697.539075000001</v>
      </c>
      <c r="J35" s="92">
        <f t="shared" si="4"/>
        <v>0.002080652418447702</v>
      </c>
    </row>
    <row r="36" spans="2:10" ht="12.75">
      <c r="B36" s="30">
        <v>11</v>
      </c>
      <c r="C36" s="89">
        <v>0.04</v>
      </c>
      <c r="D36" s="3">
        <f t="shared" si="1"/>
        <v>0.79</v>
      </c>
      <c r="E36" s="89">
        <v>0.85</v>
      </c>
      <c r="F36" s="91">
        <f t="shared" si="2"/>
        <v>850</v>
      </c>
      <c r="G36" s="91">
        <f t="shared" si="5"/>
        <v>790.7515</v>
      </c>
      <c r="H36" s="91">
        <f t="shared" si="3"/>
        <v>59.248500000000035</v>
      </c>
      <c r="I36" s="91">
        <f t="shared" si="6"/>
        <v>4647.539075000001</v>
      </c>
      <c r="J36" s="92">
        <f t="shared" si="4"/>
        <v>0.013329246344206982</v>
      </c>
    </row>
    <row r="37" spans="2:10" ht="12.75">
      <c r="B37" s="30">
        <v>12</v>
      </c>
      <c r="C37" s="89">
        <v>0.04</v>
      </c>
      <c r="D37" s="3">
        <f t="shared" si="1"/>
        <v>0.8300000000000001</v>
      </c>
      <c r="E37" s="89">
        <v>0.9</v>
      </c>
      <c r="F37" s="91">
        <f t="shared" si="2"/>
        <v>900</v>
      </c>
      <c r="G37" s="91">
        <f t="shared" si="5"/>
        <v>790.7515</v>
      </c>
      <c r="H37" s="91">
        <f t="shared" si="3"/>
        <v>109.24850000000004</v>
      </c>
      <c r="I37" s="91">
        <f t="shared" si="6"/>
        <v>4597.539075000001</v>
      </c>
      <c r="J37" s="92">
        <f t="shared" si="4"/>
        <v>0.02457784026996626</v>
      </c>
    </row>
    <row r="38" spans="2:10" ht="12.75">
      <c r="B38" s="30">
        <v>13</v>
      </c>
      <c r="C38" s="89">
        <v>0.03</v>
      </c>
      <c r="D38" s="3">
        <f t="shared" si="1"/>
        <v>0.8600000000000001</v>
      </c>
      <c r="E38" s="104">
        <v>1</v>
      </c>
      <c r="F38" s="91">
        <f t="shared" si="2"/>
        <v>1000</v>
      </c>
      <c r="G38" s="91">
        <f t="shared" si="5"/>
        <v>790.7515</v>
      </c>
      <c r="H38" s="91">
        <f t="shared" si="3"/>
        <v>209.24850000000004</v>
      </c>
      <c r="I38" s="91">
        <f t="shared" si="6"/>
        <v>4497.539075000001</v>
      </c>
      <c r="J38" s="92">
        <f t="shared" si="4"/>
        <v>0.04707502812148482</v>
      </c>
    </row>
    <row r="39" spans="2:10" ht="12.75">
      <c r="B39" s="30">
        <v>14</v>
      </c>
      <c r="C39" s="89">
        <v>0.03</v>
      </c>
      <c r="D39" s="3">
        <f t="shared" si="1"/>
        <v>0.8900000000000001</v>
      </c>
      <c r="E39" s="104">
        <v>1.1</v>
      </c>
      <c r="F39" s="91">
        <f t="shared" si="2"/>
        <v>1100</v>
      </c>
      <c r="G39" s="91">
        <f t="shared" si="5"/>
        <v>790.7515</v>
      </c>
      <c r="H39" s="91">
        <f t="shared" si="3"/>
        <v>309.24850000000004</v>
      </c>
      <c r="I39" s="91">
        <f t="shared" si="6"/>
        <v>4397.539075000001</v>
      </c>
      <c r="J39" s="92">
        <f t="shared" si="4"/>
        <v>0.06957221597300338</v>
      </c>
    </row>
    <row r="40" spans="2:10" ht="12.75">
      <c r="B40" s="30">
        <v>15</v>
      </c>
      <c r="C40" s="89">
        <v>0.03</v>
      </c>
      <c r="D40" s="3">
        <f t="shared" si="1"/>
        <v>0.9200000000000002</v>
      </c>
      <c r="E40" s="104">
        <v>1.2</v>
      </c>
      <c r="F40" s="91">
        <f t="shared" si="2"/>
        <v>1200</v>
      </c>
      <c r="G40" s="91">
        <f t="shared" si="5"/>
        <v>790.7515</v>
      </c>
      <c r="H40" s="91">
        <f t="shared" si="3"/>
        <v>409.24850000000004</v>
      </c>
      <c r="I40" s="91">
        <f t="shared" si="6"/>
        <v>4297.539075000001</v>
      </c>
      <c r="J40" s="92">
        <f t="shared" si="4"/>
        <v>0.09206940382452194</v>
      </c>
    </row>
    <row r="41" spans="2:10" ht="12.75">
      <c r="B41" s="30">
        <v>16</v>
      </c>
      <c r="C41" s="89">
        <v>0.02</v>
      </c>
      <c r="D41" s="3">
        <f t="shared" si="1"/>
        <v>0.9400000000000002</v>
      </c>
      <c r="E41" s="104">
        <v>1.3</v>
      </c>
      <c r="F41" s="91">
        <f t="shared" si="2"/>
        <v>1300</v>
      </c>
      <c r="G41" s="91">
        <f t="shared" si="5"/>
        <v>790.7515</v>
      </c>
      <c r="H41" s="91">
        <f t="shared" si="3"/>
        <v>509.24850000000004</v>
      </c>
      <c r="I41" s="91">
        <f t="shared" si="6"/>
        <v>4197.539075000001</v>
      </c>
      <c r="J41" s="92">
        <f t="shared" si="4"/>
        <v>0.1145665916760405</v>
      </c>
    </row>
    <row r="42" spans="2:10" ht="12.75">
      <c r="B42" s="30">
        <v>17</v>
      </c>
      <c r="C42" s="89">
        <v>0.02</v>
      </c>
      <c r="D42" s="3">
        <f t="shared" si="1"/>
        <v>0.9600000000000002</v>
      </c>
      <c r="E42" s="104">
        <v>1.4</v>
      </c>
      <c r="F42" s="91">
        <f t="shared" si="2"/>
        <v>1400</v>
      </c>
      <c r="G42" s="91">
        <f t="shared" si="5"/>
        <v>790.7515</v>
      </c>
      <c r="H42" s="91">
        <f t="shared" si="3"/>
        <v>609.2485</v>
      </c>
      <c r="I42" s="91">
        <f t="shared" si="6"/>
        <v>4097.539075000001</v>
      </c>
      <c r="J42" s="92">
        <f t="shared" si="4"/>
        <v>0.13706377952755908</v>
      </c>
    </row>
    <row r="43" spans="2:10" ht="12.75">
      <c r="B43" s="30">
        <v>18</v>
      </c>
      <c r="C43" s="89">
        <v>0.02</v>
      </c>
      <c r="D43" s="3">
        <f t="shared" si="1"/>
        <v>0.9800000000000002</v>
      </c>
      <c r="E43" s="104">
        <v>1.5</v>
      </c>
      <c r="F43" s="91">
        <f t="shared" si="2"/>
        <v>1500</v>
      </c>
      <c r="G43" s="91">
        <f t="shared" si="5"/>
        <v>790.7515</v>
      </c>
      <c r="H43" s="91">
        <f t="shared" si="3"/>
        <v>709.2485</v>
      </c>
      <c r="I43" s="91">
        <f t="shared" si="6"/>
        <v>3997.5390750000006</v>
      </c>
      <c r="J43" s="92">
        <f t="shared" si="4"/>
        <v>0.15956096737907763</v>
      </c>
    </row>
    <row r="44" spans="2:10" ht="12.75">
      <c r="B44" s="30">
        <v>19</v>
      </c>
      <c r="C44" s="89">
        <v>0.01</v>
      </c>
      <c r="D44" s="3">
        <f t="shared" si="1"/>
        <v>0.9900000000000002</v>
      </c>
      <c r="E44" s="104">
        <v>1.6</v>
      </c>
      <c r="F44" s="91">
        <f t="shared" si="2"/>
        <v>1600</v>
      </c>
      <c r="G44" s="91">
        <f t="shared" si="5"/>
        <v>790.7515</v>
      </c>
      <c r="H44" s="91">
        <f t="shared" si="3"/>
        <v>809.2485</v>
      </c>
      <c r="I44" s="91">
        <f t="shared" si="6"/>
        <v>3897.5390750000006</v>
      </c>
      <c r="J44" s="92">
        <f t="shared" si="4"/>
        <v>0.18205815523059618</v>
      </c>
    </row>
    <row r="45" spans="2:10" ht="13.5" thickBot="1">
      <c r="B45" s="37">
        <v>20</v>
      </c>
      <c r="C45" s="90">
        <v>0.01</v>
      </c>
      <c r="D45" s="3">
        <f t="shared" si="1"/>
        <v>1.0000000000000002</v>
      </c>
      <c r="E45" s="105">
        <v>1.7</v>
      </c>
      <c r="F45" s="91">
        <f t="shared" si="2"/>
        <v>1700</v>
      </c>
      <c r="G45" s="91">
        <f t="shared" si="5"/>
        <v>790.7515</v>
      </c>
      <c r="H45" s="91">
        <f t="shared" si="3"/>
        <v>909.2485</v>
      </c>
      <c r="I45" s="91">
        <f t="shared" si="6"/>
        <v>3797.5390750000006</v>
      </c>
      <c r="J45" s="92">
        <f t="shared" si="4"/>
        <v>0.20455534308211473</v>
      </c>
    </row>
    <row r="46" spans="1:9" ht="12.75">
      <c r="A46" s="37"/>
      <c r="B46" s="2"/>
      <c r="C46" s="3"/>
      <c r="D46" s="2"/>
      <c r="E46" s="4"/>
      <c r="F46" s="15"/>
      <c r="G46" s="4"/>
      <c r="H46" s="4"/>
      <c r="I46" s="7"/>
    </row>
    <row r="47" spans="1:12" ht="26.25">
      <c r="A47" s="43" t="str">
        <f>A1</f>
        <v>Exhibit 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26.25">
      <c r="A48" s="45" t="str">
        <f>A2</f>
        <v>CASE 4 -- More Skewed Loss Distribution, In Yield and Loss Rate Balance</v>
      </c>
      <c r="B48" s="44"/>
      <c r="C48" s="44"/>
      <c r="D48" s="44"/>
      <c r="E48" s="44"/>
      <c r="F48" s="45"/>
      <c r="G48" s="44"/>
      <c r="H48" s="44"/>
      <c r="I48" s="44"/>
      <c r="J48" s="44"/>
      <c r="K48" s="44"/>
      <c r="L48" s="44"/>
    </row>
    <row r="49" spans="6:9" ht="13.5" thickBot="1">
      <c r="F49" s="5"/>
      <c r="I49" s="9"/>
    </row>
    <row r="50" spans="2:10" ht="20.25" thickBot="1" thickTop="1">
      <c r="B50" s="20"/>
      <c r="C50" s="21"/>
      <c r="D50" s="67"/>
      <c r="E50" s="67"/>
      <c r="F50" s="29" t="s">
        <v>23</v>
      </c>
      <c r="G50" s="67"/>
      <c r="H50" s="67"/>
      <c r="I50" s="67"/>
      <c r="J50" s="68"/>
    </row>
    <row r="51" spans="2:10" ht="13.5" thickBot="1">
      <c r="B51" s="69"/>
      <c r="C51" s="127" t="s">
        <v>67</v>
      </c>
      <c r="D51" s="128">
        <v>1</v>
      </c>
      <c r="E51" s="128">
        <v>2</v>
      </c>
      <c r="F51" s="128">
        <v>3</v>
      </c>
      <c r="G51" s="128">
        <v>4</v>
      </c>
      <c r="H51" s="128">
        <v>5</v>
      </c>
      <c r="I51" s="128">
        <v>6</v>
      </c>
      <c r="J51" s="129">
        <v>7</v>
      </c>
    </row>
    <row r="52" spans="2:11" ht="16.5" thickTop="1">
      <c r="B52" s="70" t="str">
        <f>"["&amp;TEXT(VALUE(MID(J18,2,LEN(J18)-2))+1,"#")&amp;"]"</f>
        <v>[24]</v>
      </c>
      <c r="C52" s="71" t="s">
        <v>0</v>
      </c>
      <c r="D52" s="11">
        <v>0.25</v>
      </c>
      <c r="E52" s="12">
        <v>0.25</v>
      </c>
      <c r="F52" s="12">
        <v>0.25</v>
      </c>
      <c r="G52" s="12">
        <v>0.25</v>
      </c>
      <c r="H52" s="12">
        <v>1</v>
      </c>
      <c r="I52" s="12">
        <v>2</v>
      </c>
      <c r="J52" s="75">
        <v>999.99</v>
      </c>
      <c r="K52" s="83" t="s">
        <v>41</v>
      </c>
    </row>
    <row r="53" spans="2:11" ht="16.5" thickBot="1">
      <c r="B53" s="65" t="str">
        <f>"["&amp;TEXT(VALUE(MID(B52,2,LEN(B52)-2))+1,"#")&amp;"]"</f>
        <v>[25]</v>
      </c>
      <c r="C53" s="72" t="s">
        <v>1</v>
      </c>
      <c r="D53" s="76">
        <v>0</v>
      </c>
      <c r="E53" s="73">
        <v>0.25</v>
      </c>
      <c r="F53" s="73">
        <v>0.5</v>
      </c>
      <c r="G53" s="73">
        <v>0.75</v>
      </c>
      <c r="H53" s="73">
        <v>1</v>
      </c>
      <c r="I53" s="73">
        <v>2</v>
      </c>
      <c r="J53" s="74">
        <v>4</v>
      </c>
      <c r="K53" s="86" t="s">
        <v>41</v>
      </c>
    </row>
    <row r="54" ht="13.5" thickTop="1"/>
    <row r="55" spans="2:10" s="103" customFormat="1" ht="15.75">
      <c r="B55" s="34" t="str">
        <f>B18</f>
        <v>[15]</v>
      </c>
      <c r="D55" s="34" t="str">
        <f>"["&amp;TEXT(VALUE(MID(B53,2,LEN(B53)-2))+1,"#")&amp;"]"</f>
        <v>[26]</v>
      </c>
      <c r="E55" s="34" t="str">
        <f aca="true" t="shared" si="7" ref="E55:J55">"["&amp;TEXT(VALUE(MID(D55,2,LEN(D55)-2))+1,"#")&amp;"]"</f>
        <v>[27]</v>
      </c>
      <c r="F55" s="34" t="str">
        <f t="shared" si="7"/>
        <v>[28]</v>
      </c>
      <c r="G55" s="34" t="str">
        <f t="shared" si="7"/>
        <v>[29]</v>
      </c>
      <c r="H55" s="34" t="str">
        <f t="shared" si="7"/>
        <v>[30]</v>
      </c>
      <c r="I55" s="34" t="str">
        <f t="shared" si="7"/>
        <v>[31]</v>
      </c>
      <c r="J55" s="34" t="str">
        <f t="shared" si="7"/>
        <v>[32]</v>
      </c>
    </row>
    <row r="56" ht="13.5" thickBot="1"/>
    <row r="57" spans="4:11" ht="13.5" thickTop="1">
      <c r="D57" s="10" t="s">
        <v>9</v>
      </c>
      <c r="E57" s="10" t="s">
        <v>10</v>
      </c>
      <c r="F57" s="10" t="s">
        <v>11</v>
      </c>
      <c r="G57" s="10" t="s">
        <v>12</v>
      </c>
      <c r="H57" s="10" t="s">
        <v>13</v>
      </c>
      <c r="I57" s="10" t="s">
        <v>14</v>
      </c>
      <c r="J57" s="10" t="s">
        <v>15</v>
      </c>
      <c r="K57" s="83" t="s">
        <v>44</v>
      </c>
    </row>
    <row r="58" spans="2:11" ht="12.75">
      <c r="B58" s="39" t="s">
        <v>68</v>
      </c>
      <c r="D58" s="10" t="s">
        <v>6</v>
      </c>
      <c r="E58" s="10" t="s">
        <v>6</v>
      </c>
      <c r="F58" s="10" t="s">
        <v>6</v>
      </c>
      <c r="G58" s="10" t="s">
        <v>6</v>
      </c>
      <c r="H58" s="10" t="s">
        <v>6</v>
      </c>
      <c r="I58" s="10" t="s">
        <v>6</v>
      </c>
      <c r="J58" s="10" t="s">
        <v>6</v>
      </c>
      <c r="K58" s="84" t="str">
        <f>"MAX( 0, MIN( "&amp;H18&amp;" -"</f>
        <v>MAX( 0, MIN( [21] -</v>
      </c>
    </row>
    <row r="59" spans="8:11" ht="13.5" thickBot="1">
      <c r="H59" s="6"/>
      <c r="I59" s="6"/>
      <c r="K59" s="81" t="str">
        <f>B53&amp;" * "&amp;E5&amp;", "&amp;B52&amp;" * "&amp;E5&amp;" ) )"</f>
        <v>[25] * [1], [24] * [1] ) )</v>
      </c>
    </row>
    <row r="60" spans="2:10" ht="13.5" thickTop="1">
      <c r="B60" s="30">
        <v>1</v>
      </c>
      <c r="D60" s="8">
        <f aca="true" t="shared" si="8" ref="D60:J69">MAX(0,MIN($H26-D$53*$H$5,D$52*$H$5))</f>
        <v>0</v>
      </c>
      <c r="E60" s="8">
        <f t="shared" si="8"/>
        <v>0</v>
      </c>
      <c r="F60" s="8">
        <f t="shared" si="8"/>
        <v>0</v>
      </c>
      <c r="G60" s="8">
        <f t="shared" si="8"/>
        <v>0</v>
      </c>
      <c r="H60" s="8">
        <f t="shared" si="8"/>
        <v>0</v>
      </c>
      <c r="I60" s="8">
        <f t="shared" si="8"/>
        <v>0</v>
      </c>
      <c r="J60" s="8">
        <f t="shared" si="8"/>
        <v>0</v>
      </c>
    </row>
    <row r="61" spans="2:10" ht="12.75">
      <c r="B61" s="30">
        <v>2</v>
      </c>
      <c r="D61" s="8">
        <f t="shared" si="8"/>
        <v>0</v>
      </c>
      <c r="E61" s="8">
        <f t="shared" si="8"/>
        <v>0</v>
      </c>
      <c r="F61" s="8">
        <f t="shared" si="8"/>
        <v>0</v>
      </c>
      <c r="G61" s="8">
        <f t="shared" si="8"/>
        <v>0</v>
      </c>
      <c r="H61" s="8">
        <f t="shared" si="8"/>
        <v>0</v>
      </c>
      <c r="I61" s="8">
        <f t="shared" si="8"/>
        <v>0</v>
      </c>
      <c r="J61" s="8">
        <f t="shared" si="8"/>
        <v>0</v>
      </c>
    </row>
    <row r="62" spans="2:11" ht="12.75">
      <c r="B62" s="30">
        <v>3</v>
      </c>
      <c r="D62" s="8">
        <f t="shared" si="8"/>
        <v>0</v>
      </c>
      <c r="E62" s="8">
        <f t="shared" si="8"/>
        <v>0</v>
      </c>
      <c r="F62" s="8">
        <f t="shared" si="8"/>
        <v>0</v>
      </c>
      <c r="G62" s="8">
        <f t="shared" si="8"/>
        <v>0</v>
      </c>
      <c r="H62" s="8">
        <f t="shared" si="8"/>
        <v>0</v>
      </c>
      <c r="I62" s="8">
        <f t="shared" si="8"/>
        <v>0</v>
      </c>
      <c r="J62" s="8">
        <f t="shared" si="8"/>
        <v>0</v>
      </c>
      <c r="K62" s="40"/>
    </row>
    <row r="63" spans="2:10" ht="12.75">
      <c r="B63" s="30">
        <v>4</v>
      </c>
      <c r="D63" s="8">
        <f t="shared" si="8"/>
        <v>0</v>
      </c>
      <c r="E63" s="8">
        <f t="shared" si="8"/>
        <v>0</v>
      </c>
      <c r="F63" s="8">
        <f t="shared" si="8"/>
        <v>0</v>
      </c>
      <c r="G63" s="8">
        <f t="shared" si="8"/>
        <v>0</v>
      </c>
      <c r="H63" s="8">
        <f t="shared" si="8"/>
        <v>0</v>
      </c>
      <c r="I63" s="8">
        <f t="shared" si="8"/>
        <v>0</v>
      </c>
      <c r="J63" s="8">
        <f t="shared" si="8"/>
        <v>0</v>
      </c>
    </row>
    <row r="64" spans="2:10" ht="12.75">
      <c r="B64" s="30">
        <v>5</v>
      </c>
      <c r="D64" s="8">
        <f t="shared" si="8"/>
        <v>0</v>
      </c>
      <c r="E64" s="8">
        <f t="shared" si="8"/>
        <v>0</v>
      </c>
      <c r="F64" s="8">
        <f t="shared" si="8"/>
        <v>0</v>
      </c>
      <c r="G64" s="8">
        <f t="shared" si="8"/>
        <v>0</v>
      </c>
      <c r="H64" s="8">
        <f t="shared" si="8"/>
        <v>0</v>
      </c>
      <c r="I64" s="8">
        <f t="shared" si="8"/>
        <v>0</v>
      </c>
      <c r="J64" s="8">
        <f t="shared" si="8"/>
        <v>0</v>
      </c>
    </row>
    <row r="65" spans="2:10" ht="12.75">
      <c r="B65" s="30">
        <v>6</v>
      </c>
      <c r="D65" s="8">
        <f t="shared" si="8"/>
        <v>0</v>
      </c>
      <c r="E65" s="8">
        <f t="shared" si="8"/>
        <v>0</v>
      </c>
      <c r="F65" s="8">
        <f t="shared" si="8"/>
        <v>0</v>
      </c>
      <c r="G65" s="8">
        <f t="shared" si="8"/>
        <v>0</v>
      </c>
      <c r="H65" s="8">
        <f t="shared" si="8"/>
        <v>0</v>
      </c>
      <c r="I65" s="8">
        <f t="shared" si="8"/>
        <v>0</v>
      </c>
      <c r="J65" s="8">
        <f t="shared" si="8"/>
        <v>0</v>
      </c>
    </row>
    <row r="66" spans="2:10" ht="12.75">
      <c r="B66" s="30">
        <v>7</v>
      </c>
      <c r="D66" s="8">
        <f t="shared" si="8"/>
        <v>0</v>
      </c>
      <c r="E66" s="8">
        <f t="shared" si="8"/>
        <v>0</v>
      </c>
      <c r="F66" s="8">
        <f t="shared" si="8"/>
        <v>0</v>
      </c>
      <c r="G66" s="8">
        <f t="shared" si="8"/>
        <v>0</v>
      </c>
      <c r="H66" s="8">
        <f t="shared" si="8"/>
        <v>0</v>
      </c>
      <c r="I66" s="8">
        <f t="shared" si="8"/>
        <v>0</v>
      </c>
      <c r="J66" s="8">
        <f t="shared" si="8"/>
        <v>0</v>
      </c>
    </row>
    <row r="67" spans="2:10" ht="12.75">
      <c r="B67" s="30">
        <v>8</v>
      </c>
      <c r="D67" s="8">
        <f t="shared" si="8"/>
        <v>0</v>
      </c>
      <c r="E67" s="8">
        <f t="shared" si="8"/>
        <v>0</v>
      </c>
      <c r="F67" s="8">
        <f t="shared" si="8"/>
        <v>0</v>
      </c>
      <c r="G67" s="8">
        <f t="shared" si="8"/>
        <v>0</v>
      </c>
      <c r="H67" s="8">
        <f t="shared" si="8"/>
        <v>0</v>
      </c>
      <c r="I67" s="8">
        <f t="shared" si="8"/>
        <v>0</v>
      </c>
      <c r="J67" s="8">
        <f t="shared" si="8"/>
        <v>0</v>
      </c>
    </row>
    <row r="68" spans="2:10" ht="12.75">
      <c r="B68" s="30">
        <v>9</v>
      </c>
      <c r="D68" s="8">
        <f t="shared" si="8"/>
        <v>0</v>
      </c>
      <c r="E68" s="8">
        <f t="shared" si="8"/>
        <v>0</v>
      </c>
      <c r="F68" s="8">
        <f t="shared" si="8"/>
        <v>0</v>
      </c>
      <c r="G68" s="8">
        <f t="shared" si="8"/>
        <v>0</v>
      </c>
      <c r="H68" s="8">
        <f t="shared" si="8"/>
        <v>0</v>
      </c>
      <c r="I68" s="8">
        <f t="shared" si="8"/>
        <v>0</v>
      </c>
      <c r="J68" s="8">
        <f t="shared" si="8"/>
        <v>0</v>
      </c>
    </row>
    <row r="69" spans="2:10" ht="12.75">
      <c r="B69" s="30">
        <v>10</v>
      </c>
      <c r="D69" s="8">
        <f t="shared" si="8"/>
        <v>9.248500000000035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</row>
    <row r="70" spans="2:10" ht="12.75">
      <c r="B70" s="30">
        <v>11</v>
      </c>
      <c r="D70" s="8">
        <f aca="true" t="shared" si="9" ref="D70:J79">MAX(0,MIN($H36-D$53*$H$5,D$52*$H$5))</f>
        <v>59.248500000000035</v>
      </c>
      <c r="E70" s="8">
        <f t="shared" si="9"/>
        <v>0</v>
      </c>
      <c r="F70" s="8">
        <f t="shared" si="9"/>
        <v>0</v>
      </c>
      <c r="G70" s="8">
        <f t="shared" si="9"/>
        <v>0</v>
      </c>
      <c r="H70" s="8">
        <f t="shared" si="9"/>
        <v>0</v>
      </c>
      <c r="I70" s="8">
        <f t="shared" si="9"/>
        <v>0</v>
      </c>
      <c r="J70" s="8">
        <f t="shared" si="9"/>
        <v>0</v>
      </c>
    </row>
    <row r="71" spans="2:10" ht="12.75">
      <c r="B71" s="30">
        <v>12</v>
      </c>
      <c r="D71" s="8">
        <f t="shared" si="9"/>
        <v>109.24850000000004</v>
      </c>
      <c r="E71" s="8">
        <f t="shared" si="9"/>
        <v>0</v>
      </c>
      <c r="F71" s="8">
        <f t="shared" si="9"/>
        <v>0</v>
      </c>
      <c r="G71" s="8">
        <f t="shared" si="9"/>
        <v>0</v>
      </c>
      <c r="H71" s="8">
        <f t="shared" si="9"/>
        <v>0</v>
      </c>
      <c r="I71" s="8">
        <f t="shared" si="9"/>
        <v>0</v>
      </c>
      <c r="J71" s="8">
        <f t="shared" si="9"/>
        <v>0</v>
      </c>
    </row>
    <row r="72" spans="2:10" ht="12.75">
      <c r="B72" s="30">
        <v>13</v>
      </c>
      <c r="D72" s="8">
        <f t="shared" si="9"/>
        <v>209.24850000000004</v>
      </c>
      <c r="E72" s="8">
        <f t="shared" si="9"/>
        <v>0</v>
      </c>
      <c r="F72" s="8">
        <f t="shared" si="9"/>
        <v>0</v>
      </c>
      <c r="G72" s="8">
        <f t="shared" si="9"/>
        <v>0</v>
      </c>
      <c r="H72" s="8">
        <f t="shared" si="9"/>
        <v>0</v>
      </c>
      <c r="I72" s="8">
        <f t="shared" si="9"/>
        <v>0</v>
      </c>
      <c r="J72" s="8">
        <f t="shared" si="9"/>
        <v>0</v>
      </c>
    </row>
    <row r="73" spans="2:10" ht="12.75">
      <c r="B73" s="30">
        <v>14</v>
      </c>
      <c r="D73" s="8">
        <f t="shared" si="9"/>
        <v>309.24850000000004</v>
      </c>
      <c r="E73" s="8">
        <f t="shared" si="9"/>
        <v>0</v>
      </c>
      <c r="F73" s="8">
        <f t="shared" si="9"/>
        <v>0</v>
      </c>
      <c r="G73" s="8">
        <f t="shared" si="9"/>
        <v>0</v>
      </c>
      <c r="H73" s="8">
        <f t="shared" si="9"/>
        <v>0</v>
      </c>
      <c r="I73" s="8">
        <f t="shared" si="9"/>
        <v>0</v>
      </c>
      <c r="J73" s="8">
        <f t="shared" si="9"/>
        <v>0</v>
      </c>
    </row>
    <row r="74" spans="2:10" ht="12.75">
      <c r="B74" s="30">
        <v>15</v>
      </c>
      <c r="D74" s="8">
        <f t="shared" si="9"/>
        <v>409.24850000000004</v>
      </c>
      <c r="E74" s="8">
        <f t="shared" si="9"/>
        <v>0</v>
      </c>
      <c r="F74" s="8">
        <f t="shared" si="9"/>
        <v>0</v>
      </c>
      <c r="G74" s="8">
        <f t="shared" si="9"/>
        <v>0</v>
      </c>
      <c r="H74" s="8">
        <f t="shared" si="9"/>
        <v>0</v>
      </c>
      <c r="I74" s="8">
        <f t="shared" si="9"/>
        <v>0</v>
      </c>
      <c r="J74" s="8">
        <f t="shared" si="9"/>
        <v>0</v>
      </c>
    </row>
    <row r="75" spans="2:10" ht="12.75">
      <c r="B75" s="30">
        <v>16</v>
      </c>
      <c r="D75" s="8">
        <f t="shared" si="9"/>
        <v>509.24850000000004</v>
      </c>
      <c r="E75" s="8">
        <f t="shared" si="9"/>
        <v>0</v>
      </c>
      <c r="F75" s="8">
        <f t="shared" si="9"/>
        <v>0</v>
      </c>
      <c r="G75" s="8">
        <f t="shared" si="9"/>
        <v>0</v>
      </c>
      <c r="H75" s="8">
        <f t="shared" si="9"/>
        <v>0</v>
      </c>
      <c r="I75" s="8">
        <f t="shared" si="9"/>
        <v>0</v>
      </c>
      <c r="J75" s="8">
        <f t="shared" si="9"/>
        <v>0</v>
      </c>
    </row>
    <row r="76" spans="2:10" ht="12.75">
      <c r="B76" s="30">
        <v>17</v>
      </c>
      <c r="D76" s="8">
        <f t="shared" si="9"/>
        <v>609.2485</v>
      </c>
      <c r="E76" s="8">
        <f t="shared" si="9"/>
        <v>0</v>
      </c>
      <c r="F76" s="8">
        <f t="shared" si="9"/>
        <v>0</v>
      </c>
      <c r="G76" s="8">
        <f t="shared" si="9"/>
        <v>0</v>
      </c>
      <c r="H76" s="8">
        <f t="shared" si="9"/>
        <v>0</v>
      </c>
      <c r="I76" s="8">
        <f t="shared" si="9"/>
        <v>0</v>
      </c>
      <c r="J76" s="8">
        <f t="shared" si="9"/>
        <v>0</v>
      </c>
    </row>
    <row r="77" spans="2:10" ht="12.75">
      <c r="B77" s="30">
        <v>18</v>
      </c>
      <c r="D77" s="8">
        <f t="shared" si="9"/>
        <v>709.2485</v>
      </c>
      <c r="E77" s="8">
        <f t="shared" si="9"/>
        <v>0</v>
      </c>
      <c r="F77" s="8">
        <f t="shared" si="9"/>
        <v>0</v>
      </c>
      <c r="G77" s="8">
        <f t="shared" si="9"/>
        <v>0</v>
      </c>
      <c r="H77" s="8">
        <f t="shared" si="9"/>
        <v>0</v>
      </c>
      <c r="I77" s="8">
        <f t="shared" si="9"/>
        <v>0</v>
      </c>
      <c r="J77" s="8">
        <f t="shared" si="9"/>
        <v>0</v>
      </c>
    </row>
    <row r="78" spans="2:10" ht="12.75">
      <c r="B78" s="30">
        <v>19</v>
      </c>
      <c r="D78" s="8">
        <f t="shared" si="9"/>
        <v>809.2485</v>
      </c>
      <c r="E78" s="8">
        <f t="shared" si="9"/>
        <v>0</v>
      </c>
      <c r="F78" s="8">
        <f t="shared" si="9"/>
        <v>0</v>
      </c>
      <c r="G78" s="8">
        <f t="shared" si="9"/>
        <v>0</v>
      </c>
      <c r="H78" s="8">
        <f t="shared" si="9"/>
        <v>0</v>
      </c>
      <c r="I78" s="8">
        <f t="shared" si="9"/>
        <v>0</v>
      </c>
      <c r="J78" s="8">
        <f t="shared" si="9"/>
        <v>0</v>
      </c>
    </row>
    <row r="79" spans="2:10" ht="12.75">
      <c r="B79" s="37">
        <v>20</v>
      </c>
      <c r="D79" s="8">
        <f t="shared" si="9"/>
        <v>909.2485</v>
      </c>
      <c r="E79" s="8">
        <f t="shared" si="9"/>
        <v>0</v>
      </c>
      <c r="F79" s="8">
        <f t="shared" si="9"/>
        <v>0</v>
      </c>
      <c r="G79" s="8">
        <f t="shared" si="9"/>
        <v>0</v>
      </c>
      <c r="H79" s="8">
        <f t="shared" si="9"/>
        <v>0</v>
      </c>
      <c r="I79" s="8">
        <f t="shared" si="9"/>
        <v>0</v>
      </c>
      <c r="J79" s="8">
        <f t="shared" si="9"/>
        <v>0</v>
      </c>
    </row>
    <row r="80" spans="4:10" ht="12.75">
      <c r="D80" s="8"/>
      <c r="E80" s="8"/>
      <c r="F80" s="8"/>
      <c r="G80" s="8"/>
      <c r="H80" s="8"/>
      <c r="I80" s="8"/>
      <c r="J80" s="8"/>
    </row>
    <row r="81" ht="13.5" thickBot="1"/>
    <row r="82" spans="1:11" ht="16.5" thickTop="1">
      <c r="A82" s="77" t="str">
        <f>"["&amp;TEXT(VALUE(MID(J55,2,LEN(J55)-2))+1,"#")&amp;"]"</f>
        <v>[33]</v>
      </c>
      <c r="B82" s="60" t="s">
        <v>40</v>
      </c>
      <c r="C82" s="21"/>
      <c r="D82" s="93">
        <f aca="true" t="shared" si="10" ref="D82:J82">SUMPRODUCT($C26:$C45,D60:D79)</f>
        <v>88.77455</v>
      </c>
      <c r="E82" s="93">
        <f t="shared" si="10"/>
        <v>0</v>
      </c>
      <c r="F82" s="93">
        <f t="shared" si="10"/>
        <v>0</v>
      </c>
      <c r="G82" s="93">
        <f t="shared" si="10"/>
        <v>0</v>
      </c>
      <c r="H82" s="93">
        <f t="shared" si="10"/>
        <v>0</v>
      </c>
      <c r="I82" s="93">
        <f t="shared" si="10"/>
        <v>0</v>
      </c>
      <c r="J82" s="94">
        <f t="shared" si="10"/>
        <v>0</v>
      </c>
      <c r="K82" s="49" t="s">
        <v>66</v>
      </c>
    </row>
    <row r="83" spans="1:11" ht="16.5" thickBot="1">
      <c r="A83" s="61" t="str">
        <f>"["&amp;TEXT(VALUE(MID(A82,2,LEN(A82)-2))+1,"#")&amp;"]"</f>
        <v>[34]</v>
      </c>
      <c r="B83" s="62" t="s">
        <v>25</v>
      </c>
      <c r="C83" s="22"/>
      <c r="D83" s="95">
        <f aca="true" t="shared" si="11" ref="D83:J83">D$82/$H$5/D$52</f>
        <v>0.07988710911136108</v>
      </c>
      <c r="E83" s="95">
        <f t="shared" si="11"/>
        <v>0</v>
      </c>
      <c r="F83" s="95">
        <f t="shared" si="11"/>
        <v>0</v>
      </c>
      <c r="G83" s="95">
        <f t="shared" si="11"/>
        <v>0</v>
      </c>
      <c r="H83" s="95">
        <f t="shared" si="11"/>
        <v>0</v>
      </c>
      <c r="I83" s="95">
        <f t="shared" si="11"/>
        <v>0</v>
      </c>
      <c r="J83" s="96">
        <f t="shared" si="11"/>
        <v>0</v>
      </c>
      <c r="K83" s="50" t="str">
        <f>"="&amp;A82&amp;" / "&amp;E5&amp;" / "&amp;B52</f>
        <v>=[33] / [1] / [24]</v>
      </c>
    </row>
    <row r="84" spans="1:11" ht="15.75">
      <c r="A84" s="61" t="str">
        <f>"["&amp;TEXT(VALUE(MID(A83,2,LEN(A83)-2))+1,"#")&amp;"]"</f>
        <v>[35]</v>
      </c>
      <c r="B84" s="63" t="s">
        <v>26</v>
      </c>
      <c r="C84" s="22"/>
      <c r="D84" s="18">
        <v>0.1</v>
      </c>
      <c r="E84" s="19">
        <v>0.25</v>
      </c>
      <c r="F84" s="19">
        <v>0.5</v>
      </c>
      <c r="G84" s="19">
        <v>0.75</v>
      </c>
      <c r="H84" s="19">
        <v>1</v>
      </c>
      <c r="I84" s="19">
        <v>2</v>
      </c>
      <c r="J84" s="78">
        <v>4</v>
      </c>
      <c r="K84" s="80" t="s">
        <v>41</v>
      </c>
    </row>
    <row r="85" spans="1:11" ht="16.5" thickBot="1">
      <c r="A85" s="61" t="str">
        <f>"["&amp;TEXT(VALUE(MID(A84,2,LEN(A84)-2))+1,"#")&amp;"]"</f>
        <v>[36]</v>
      </c>
      <c r="B85" s="63" t="s">
        <v>27</v>
      </c>
      <c r="C85" s="22"/>
      <c r="D85" s="16">
        <v>0.001</v>
      </c>
      <c r="E85" s="17">
        <v>0.001</v>
      </c>
      <c r="F85" s="17">
        <v>0.001</v>
      </c>
      <c r="G85" s="17">
        <v>0.001</v>
      </c>
      <c r="H85" s="17">
        <v>0.001</v>
      </c>
      <c r="I85" s="17">
        <v>0.001</v>
      </c>
      <c r="J85" s="79">
        <v>0.001</v>
      </c>
      <c r="K85" s="80" t="s">
        <v>41</v>
      </c>
    </row>
    <row r="86" spans="1:11" ht="15.75">
      <c r="A86" s="61" t="str">
        <f>"["&amp;TEXT(VALUE(MID(A85,2,LEN(A85)-2))+1,"#")&amp;"]"</f>
        <v>[37]</v>
      </c>
      <c r="B86" s="64" t="s">
        <v>34</v>
      </c>
      <c r="C86" s="22"/>
      <c r="D86" s="95">
        <f>IF(D83&gt;0,D85+(1+D84)*D83,0)</f>
        <v>0.0888758200224972</v>
      </c>
      <c r="E86" s="95">
        <f aca="true" t="shared" si="12" ref="E86:J86">IF(E83&gt;0,E85+(1+E84)*E83,0)</f>
        <v>0</v>
      </c>
      <c r="F86" s="95">
        <f t="shared" si="12"/>
        <v>0</v>
      </c>
      <c r="G86" s="95">
        <f t="shared" si="12"/>
        <v>0</v>
      </c>
      <c r="H86" s="95">
        <f t="shared" si="12"/>
        <v>0</v>
      </c>
      <c r="I86" s="95">
        <f t="shared" si="12"/>
        <v>0</v>
      </c>
      <c r="J86" s="96">
        <f t="shared" si="12"/>
        <v>0</v>
      </c>
      <c r="K86" s="50" t="str">
        <f>"="&amp;A83&amp;" *(1+"&amp;A84&amp;" ) + "&amp;A85</f>
        <v>=[34] *(1+[35] ) + [36]</v>
      </c>
    </row>
    <row r="87" spans="1:11" ht="16.5" thickBot="1">
      <c r="A87" s="65" t="str">
        <f>"["&amp;TEXT(VALUE(MID(A86,2,LEN(A86)-2))+1,"#")&amp;"]"</f>
        <v>[38]</v>
      </c>
      <c r="B87" s="66" t="s">
        <v>7</v>
      </c>
      <c r="C87" s="25"/>
      <c r="D87" s="97">
        <f aca="true" t="shared" si="13" ref="D87:J87">D86*D52*$H5</f>
        <v>98.76325500000002</v>
      </c>
      <c r="E87" s="97">
        <f t="shared" si="13"/>
        <v>0</v>
      </c>
      <c r="F87" s="97">
        <f t="shared" si="13"/>
        <v>0</v>
      </c>
      <c r="G87" s="97">
        <f t="shared" si="13"/>
        <v>0</v>
      </c>
      <c r="H87" s="97">
        <f t="shared" si="13"/>
        <v>0</v>
      </c>
      <c r="I87" s="97">
        <f t="shared" si="13"/>
        <v>0</v>
      </c>
      <c r="J87" s="98">
        <f t="shared" si="13"/>
        <v>0</v>
      </c>
      <c r="K87" s="81" t="str">
        <f>"="&amp;A86&amp;" * "&amp;E5&amp;" * "&amp;B52</f>
        <v>=[37] * [1] * [24]</v>
      </c>
    </row>
    <row r="88" ht="16.5" thickTop="1">
      <c r="A88" s="33"/>
    </row>
  </sheetData>
  <printOptions horizontalCentered="1" verticalCentered="1"/>
  <pageMargins left="0.75" right="0.75" top="0.49" bottom="0.5" header="0.5" footer="0.5"/>
  <pageSetup fitToHeight="2" fitToWidth="1" horizontalDpi="300" verticalDpi="300" orientation="landscape" scale="79" r:id="rId1"/>
  <headerFooter alignWithMargins="0">
    <oddHeader>&amp;R&amp;"Arial,Bold Italic"&amp;14Page &amp;P of &amp;N</oddHeader>
  </headerFooter>
  <rowBreaks count="1" manualBreakCount="1">
    <brk id="4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11">
    <pageSetUpPr fitToPage="1"/>
  </sheetPr>
  <dimension ref="A1:L8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13.421875" style="0" customWidth="1"/>
    <col min="3" max="4" width="13.00390625" style="0" customWidth="1"/>
    <col min="5" max="5" width="13.28125" style="0" customWidth="1"/>
    <col min="6" max="6" width="15.7109375" style="0" customWidth="1"/>
    <col min="7" max="7" width="13.8515625" style="0" customWidth="1"/>
    <col min="8" max="8" width="12.140625" style="0" customWidth="1"/>
    <col min="9" max="9" width="15.421875" style="0" customWidth="1"/>
    <col min="10" max="10" width="13.7109375" style="0" customWidth="1"/>
    <col min="11" max="11" width="19.8515625" style="0" customWidth="1"/>
    <col min="12" max="12" width="14.140625" style="0" customWidth="1"/>
    <col min="13" max="16" width="11.421875" style="0" customWidth="1"/>
    <col min="17" max="17" width="11.7109375" style="0" customWidth="1"/>
  </cols>
  <sheetData>
    <row r="1" spans="1:12" ht="26.25">
      <c r="A1" s="43" t="s">
        <v>57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6.25">
      <c r="A2" s="45" t="s">
        <v>48</v>
      </c>
      <c r="B2" s="44"/>
      <c r="C2" s="44"/>
      <c r="D2" s="44"/>
      <c r="E2" s="44"/>
      <c r="F2" s="45"/>
      <c r="G2" s="44"/>
      <c r="H2" s="44"/>
      <c r="I2" s="44"/>
      <c r="J2" s="44"/>
      <c r="K2" s="44"/>
      <c r="L2" s="44"/>
    </row>
    <row r="3" ht="13.5" thickBot="1">
      <c r="A3" s="1"/>
    </row>
    <row r="4" spans="1:11" ht="20.25" thickBot="1" thickTop="1">
      <c r="A4" s="1"/>
      <c r="E4" s="52"/>
      <c r="F4" s="55"/>
      <c r="G4" s="55" t="s">
        <v>32</v>
      </c>
      <c r="H4" s="54"/>
      <c r="I4" s="59"/>
      <c r="J4" s="13"/>
      <c r="K4" s="22"/>
    </row>
    <row r="5" spans="1:12" ht="17.25" thickBot="1" thickTop="1">
      <c r="A5" s="1"/>
      <c r="E5" s="35" t="s">
        <v>31</v>
      </c>
      <c r="F5" s="22" t="s">
        <v>75</v>
      </c>
      <c r="G5" s="22"/>
      <c r="H5" s="58">
        <f>Case1!H5</f>
        <v>3600</v>
      </c>
      <c r="I5" s="83" t="s">
        <v>41</v>
      </c>
      <c r="L5" s="40"/>
    </row>
    <row r="6" spans="1:9" ht="16.5" thickBot="1">
      <c r="A6" s="1"/>
      <c r="E6" s="35" t="str">
        <f>"["&amp;TEXT(VALUE(MID(E5,2,LEN(E5)-2))+1,"#")&amp;"]"</f>
        <v>[2]</v>
      </c>
      <c r="F6" s="23" t="s">
        <v>18</v>
      </c>
      <c r="G6" s="22"/>
      <c r="H6" s="24">
        <f>Case1!H6</f>
        <v>0.0615</v>
      </c>
      <c r="I6" s="87" t="s">
        <v>41</v>
      </c>
    </row>
    <row r="7" spans="1:9" ht="16.5" thickBot="1">
      <c r="A7" s="1"/>
      <c r="E7" s="35" t="str">
        <f>"["&amp;TEXT(VALUE(MID(E6,2,LEN(E6)-2))+1,"#")&amp;"]"</f>
        <v>[3]</v>
      </c>
      <c r="F7" s="22" t="s">
        <v>21</v>
      </c>
      <c r="G7" s="124"/>
      <c r="H7" s="125">
        <v>1000</v>
      </c>
      <c r="I7" s="87" t="s">
        <v>41</v>
      </c>
    </row>
    <row r="8" spans="1:9" ht="16.5" thickBot="1">
      <c r="A8" s="1"/>
      <c r="E8" s="36" t="str">
        <f>"["&amp;TEXT(VALUE(MID(E7,2,LEN(E7)-2))+1,"#")&amp;"]"</f>
        <v>[4]</v>
      </c>
      <c r="F8" s="25" t="s">
        <v>64</v>
      </c>
      <c r="G8" s="26"/>
      <c r="H8" s="126">
        <v>0.05</v>
      </c>
      <c r="I8" s="86" t="s">
        <v>41</v>
      </c>
    </row>
    <row r="9" spans="1:11" ht="17.25" thickBot="1" thickTop="1">
      <c r="A9" s="1"/>
      <c r="C9" s="41"/>
      <c r="D9" s="22"/>
      <c r="E9" s="13"/>
      <c r="F9" s="13"/>
      <c r="H9" s="41"/>
      <c r="I9" s="28"/>
      <c r="J9" s="22"/>
      <c r="K9" s="32"/>
    </row>
    <row r="10" spans="1:11" ht="20.25" thickBot="1" thickTop="1">
      <c r="A10" s="1"/>
      <c r="B10" s="52"/>
      <c r="C10" s="53"/>
      <c r="D10" s="54"/>
      <c r="E10" s="21"/>
      <c r="F10" s="55"/>
      <c r="G10" s="55" t="s">
        <v>33</v>
      </c>
      <c r="H10" s="53"/>
      <c r="I10" s="56"/>
      <c r="J10" s="54"/>
      <c r="K10" s="57"/>
    </row>
    <row r="11" spans="1:11" ht="16.5" thickTop="1">
      <c r="A11" s="1"/>
      <c r="B11" s="46" t="str">
        <f>"["&amp;TEXT(VALUE(MID(E8,2,LEN(E8)-2))+1,"#")&amp;"]"</f>
        <v>[5]</v>
      </c>
      <c r="C11" s="47" t="s">
        <v>19</v>
      </c>
      <c r="D11" s="48"/>
      <c r="E11" s="99">
        <f>H6*E12</f>
        <v>41.374125</v>
      </c>
      <c r="F11" s="49" t="str">
        <f>"="&amp;E6&amp;" * "&amp;B12</f>
        <v>=[2] * [6]</v>
      </c>
      <c r="G11" s="46" t="str">
        <f>"["&amp;TEXT(VALUE(MID(B15,2,LEN(B15)-2))+1,"#")&amp;"]"</f>
        <v>[10]</v>
      </c>
      <c r="H11" s="21" t="s">
        <v>39</v>
      </c>
      <c r="I11" s="21"/>
      <c r="J11" s="93">
        <f>SUMPRODUCT($C26:$C45,I26:I45)</f>
        <v>3857.08033125</v>
      </c>
      <c r="K11" s="49" t="str">
        <f>"=E{ "&amp;I18&amp;" }"</f>
        <v>=E{ [22] }</v>
      </c>
    </row>
    <row r="12" spans="1:11" ht="15.75">
      <c r="A12" s="1"/>
      <c r="B12" s="35" t="str">
        <f>"["&amp;TEXT(VALUE(MID(B11,2,LEN(B11)-2))+1,"#")&amp;"]"</f>
        <v>[6]</v>
      </c>
      <c r="C12" s="28" t="s">
        <v>37</v>
      </c>
      <c r="D12" s="22"/>
      <c r="E12" s="14">
        <f>SUMPRODUCT($C26:$C45,F26:F45)</f>
        <v>672.75</v>
      </c>
      <c r="F12" s="50" t="str">
        <f>"=E{ "&amp;F18&amp;" }"</f>
        <v>=E{ [19] }</v>
      </c>
      <c r="G12" s="106" t="str">
        <f>"["&amp;TEXT(VALUE(MID(G11,2,LEN(G11)-2))+1,"#")&amp;"]"</f>
        <v>[11]</v>
      </c>
      <c r="H12" s="110" t="s">
        <v>20</v>
      </c>
      <c r="I12" s="111"/>
      <c r="J12" s="107">
        <f>J11/H5-1</f>
        <v>0.07141120312500004</v>
      </c>
      <c r="K12" s="112" t="str">
        <f>"="&amp;G11&amp;" / "&amp;E5&amp;" - 1.00"</f>
        <v>=[10] / [1] - 1.00</v>
      </c>
    </row>
    <row r="13" spans="1:11" ht="15.75">
      <c r="A13" s="1"/>
      <c r="B13" s="35" t="str">
        <f>"["&amp;TEXT(VALUE(MID(B12,2,LEN(B12)-2))+1,"#")&amp;"]"</f>
        <v>[7]</v>
      </c>
      <c r="C13" s="28" t="s">
        <v>22</v>
      </c>
      <c r="D13" s="22"/>
      <c r="E13" s="100">
        <f>E11+H5+E12</f>
        <v>4314.124125</v>
      </c>
      <c r="F13" s="50" t="str">
        <f>"="&amp;E5&amp;" +"&amp;B11&amp;" +"&amp;B12</f>
        <v>=[1] +[5] +[6]</v>
      </c>
      <c r="G13" s="35" t="str">
        <f>"["&amp;TEXT(VALUE(MID(G12,2,LEN(G12)-2))+1,"#")&amp;"]"</f>
        <v>[12]</v>
      </c>
      <c r="H13" s="27" t="s">
        <v>35</v>
      </c>
      <c r="I13" s="22"/>
      <c r="J13" s="102">
        <f>SUM(D87:J87)</f>
        <v>61.58184649999998</v>
      </c>
      <c r="K13" s="50" t="str">
        <f>"=Sum{ "&amp;A87&amp;" }"</f>
        <v>=Sum{ [38] }</v>
      </c>
    </row>
    <row r="14" spans="1:11" ht="15.75">
      <c r="A14" s="1"/>
      <c r="B14" s="35" t="str">
        <f>"["&amp;TEXT(VALUE(MID(B13,2,LEN(B13)-2))+1,"#")&amp;"]"</f>
        <v>[8]</v>
      </c>
      <c r="C14" s="28" t="s">
        <v>38</v>
      </c>
      <c r="D14" s="22"/>
      <c r="E14" s="14">
        <f>SUMPRODUCT($C26:$C45,H26:H45)</f>
        <v>55.165314999999985</v>
      </c>
      <c r="F14" s="50" t="str">
        <f>"=E{ "&amp;H18&amp;" }"</f>
        <v>=E{ [21] }</v>
      </c>
      <c r="G14" s="106" t="str">
        <f>"["&amp;TEXT(VALUE(MID(G13,2,LEN(G13)-2))+1,"#")&amp;"]"</f>
        <v>[13]</v>
      </c>
      <c r="H14" s="111" t="s">
        <v>8</v>
      </c>
      <c r="I14" s="111"/>
      <c r="J14" s="107">
        <f>J13/H5+H8</f>
        <v>0.06710606847222222</v>
      </c>
      <c r="K14" s="112" t="str">
        <f>"="&amp;G13&amp;" / "&amp;E5&amp;" + "&amp;E8</f>
        <v>=[12] / [1] + [4]</v>
      </c>
    </row>
    <row r="15" spans="1:11" ht="16.5" thickBot="1">
      <c r="A15" s="1"/>
      <c r="B15" s="108" t="str">
        <f>"["&amp;TEXT(VALUE(MID(B14,2,LEN(B14)-2))+1,"#")&amp;"]"</f>
        <v>[9]</v>
      </c>
      <c r="C15" s="113" t="s">
        <v>65</v>
      </c>
      <c r="D15" s="113"/>
      <c r="E15" s="109">
        <f>E14/H5</f>
        <v>0.015323698611111106</v>
      </c>
      <c r="F15" s="114" t="str">
        <f>"="&amp;B14&amp;" / "&amp;E5</f>
        <v>=[8] / [1]</v>
      </c>
      <c r="G15" s="108" t="str">
        <f>"["&amp;TEXT(VALUE(MID(G14,2,LEN(G14)-2))+1,"#")&amp;"]"</f>
        <v>[14]</v>
      </c>
      <c r="H15" s="113" t="s">
        <v>52</v>
      </c>
      <c r="I15" s="113"/>
      <c r="J15" s="109">
        <f>J14-E15-H8</f>
        <v>0.0017823698611111188</v>
      </c>
      <c r="K15" s="114" t="str">
        <f>"="&amp;G14&amp;" - "&amp;B15&amp;" - "&amp;E8</f>
        <v>=[13] - [9] - [4]</v>
      </c>
    </row>
    <row r="16" spans="1:8" ht="16.5" thickTop="1">
      <c r="A16" s="1"/>
      <c r="H16" s="41"/>
    </row>
    <row r="17" ht="12.75">
      <c r="A17" s="1"/>
    </row>
    <row r="18" spans="2:10" ht="15.75">
      <c r="B18" s="34" t="str">
        <f>"["&amp;TEXT(VALUE(MID(G15,2,LEN(G15)-2))+1,"#")&amp;"]"</f>
        <v>[15]</v>
      </c>
      <c r="C18" s="34" t="str">
        <f aca="true" t="shared" si="0" ref="C18:J18">"["&amp;TEXT(VALUE(MID(B18,2,LEN(B18)-2))+1,"#")&amp;"]"</f>
        <v>[16]</v>
      </c>
      <c r="D18" s="34" t="str">
        <f t="shared" si="0"/>
        <v>[17]</v>
      </c>
      <c r="E18" s="34" t="str">
        <f t="shared" si="0"/>
        <v>[18]</v>
      </c>
      <c r="F18" s="34" t="str">
        <f t="shared" si="0"/>
        <v>[19]</v>
      </c>
      <c r="G18" s="34" t="str">
        <f t="shared" si="0"/>
        <v>[20]</v>
      </c>
      <c r="H18" s="34" t="str">
        <f t="shared" si="0"/>
        <v>[21]</v>
      </c>
      <c r="I18" s="34" t="str">
        <f t="shared" si="0"/>
        <v>[22]</v>
      </c>
      <c r="J18" s="34" t="str">
        <f t="shared" si="0"/>
        <v>[23]</v>
      </c>
    </row>
    <row r="19" spans="2:10" ht="12.75" customHeight="1">
      <c r="B19" s="34"/>
      <c r="C19" s="34"/>
      <c r="D19" s="34"/>
      <c r="E19" s="34"/>
      <c r="F19" s="34"/>
      <c r="G19" s="34"/>
      <c r="H19" s="34"/>
      <c r="I19" s="34"/>
      <c r="J19" s="34"/>
    </row>
    <row r="20" spans="2:10" ht="12.75">
      <c r="B20" s="31"/>
      <c r="C20" s="31"/>
      <c r="D20" s="31"/>
      <c r="E20" s="31"/>
      <c r="F20" s="31"/>
      <c r="G20" s="31" t="s">
        <v>43</v>
      </c>
      <c r="H20" s="31"/>
      <c r="I20" s="31"/>
      <c r="J20" s="30"/>
    </row>
    <row r="21" spans="2:10" ht="12.75">
      <c r="B21" s="31"/>
      <c r="C21" s="38"/>
      <c r="D21" s="31"/>
      <c r="E21" s="31"/>
      <c r="F21" s="31"/>
      <c r="G21" s="31" t="s">
        <v>28</v>
      </c>
      <c r="H21" s="31"/>
      <c r="I21" s="31"/>
      <c r="J21" s="31"/>
    </row>
    <row r="22" spans="2:10" ht="12.75">
      <c r="B22" s="39" t="s">
        <v>68</v>
      </c>
      <c r="C22" s="39" t="s">
        <v>3</v>
      </c>
      <c r="D22" s="39" t="s">
        <v>4</v>
      </c>
      <c r="E22" s="39" t="s">
        <v>24</v>
      </c>
      <c r="F22" s="39" t="s">
        <v>5</v>
      </c>
      <c r="G22" s="31" t="s">
        <v>29</v>
      </c>
      <c r="H22" s="39" t="s">
        <v>6</v>
      </c>
      <c r="I22" s="39" t="s">
        <v>16</v>
      </c>
      <c r="J22" s="39" t="s">
        <v>17</v>
      </c>
    </row>
    <row r="23" spans="3:10" ht="12.75">
      <c r="C23" s="85" t="s">
        <v>41</v>
      </c>
      <c r="D23" s="42" t="s">
        <v>36</v>
      </c>
      <c r="E23" s="85" t="s">
        <v>41</v>
      </c>
      <c r="F23" s="42" t="str">
        <f>"="&amp;E7&amp;" * "&amp;E18</f>
        <v>=[3] * [18]</v>
      </c>
      <c r="G23" s="42" t="str">
        <f>"="&amp;B11&amp;" + "&amp;B12</f>
        <v>=[5] + [6]</v>
      </c>
      <c r="H23" s="42" t="s">
        <v>42</v>
      </c>
      <c r="I23" s="42" t="str">
        <f>"="&amp;B13&amp;" * (1.00 + "&amp;E8&amp;" )"</f>
        <v>=[7] * (1.00 + [4] )</v>
      </c>
      <c r="J23" s="42" t="str">
        <f>"="&amp;H18&amp;" / "&amp;E5</f>
        <v>=[21] / [1]</v>
      </c>
    </row>
    <row r="24" spans="4:10" ht="12.75">
      <c r="D24" s="42" t="str">
        <f>"of "&amp;C18</f>
        <v>of [16]</v>
      </c>
      <c r="E24" s="82"/>
      <c r="F24" s="82"/>
      <c r="G24" s="82"/>
      <c r="H24" s="42" t="str">
        <f>F18&amp;" - "&amp;G18&amp;" )"</f>
        <v>[19] - [20] )</v>
      </c>
      <c r="I24" s="85" t="str">
        <f>"- "&amp;F18</f>
        <v>- [19]</v>
      </c>
      <c r="J24" s="82"/>
    </row>
    <row r="25" ht="13.5" thickBot="1"/>
    <row r="26" spans="2:10" ht="12.75">
      <c r="B26" s="30">
        <v>1</v>
      </c>
      <c r="C26" s="88">
        <v>0.02</v>
      </c>
      <c r="D26" s="3">
        <f aca="true" t="shared" si="1" ref="D26:D45">C26+D25</f>
        <v>0.02</v>
      </c>
      <c r="E26" s="88">
        <v>0.35</v>
      </c>
      <c r="F26" s="91">
        <f aca="true" t="shared" si="2" ref="F26:F45">E26*$H$7</f>
        <v>350</v>
      </c>
      <c r="G26" s="91">
        <f>(1+H$6)*E$12</f>
        <v>714.124125</v>
      </c>
      <c r="H26" s="91">
        <f aca="true" t="shared" si="3" ref="H26:H45">MAX(F26-G26,0)</f>
        <v>0</v>
      </c>
      <c r="I26" s="91">
        <f>$E$13*(1+$H$8)-F26</f>
        <v>4179.83033125</v>
      </c>
      <c r="J26" s="92">
        <f aca="true" t="shared" si="4" ref="J26:J45">H26/H$5</f>
        <v>0</v>
      </c>
    </row>
    <row r="27" spans="2:10" ht="12.75">
      <c r="B27" s="30">
        <v>2</v>
      </c>
      <c r="C27" s="89">
        <v>0.04</v>
      </c>
      <c r="D27" s="3">
        <f t="shared" si="1"/>
        <v>0.06</v>
      </c>
      <c r="E27" s="89">
        <v>0.4</v>
      </c>
      <c r="F27" s="91">
        <f t="shared" si="2"/>
        <v>400</v>
      </c>
      <c r="G27" s="91">
        <f aca="true" t="shared" si="5" ref="G27:G45">G26</f>
        <v>714.124125</v>
      </c>
      <c r="H27" s="91">
        <f t="shared" si="3"/>
        <v>0</v>
      </c>
      <c r="I27" s="91">
        <f aca="true" t="shared" si="6" ref="I27:I45">$E$13*(1+$H$8)-F27</f>
        <v>4129.83033125</v>
      </c>
      <c r="J27" s="92">
        <f t="shared" si="4"/>
        <v>0</v>
      </c>
    </row>
    <row r="28" spans="2:10" ht="12.75">
      <c r="B28" s="30">
        <v>3</v>
      </c>
      <c r="C28" s="89">
        <v>0.06</v>
      </c>
      <c r="D28" s="3">
        <f t="shared" si="1"/>
        <v>0.12</v>
      </c>
      <c r="E28" s="89">
        <v>0.45</v>
      </c>
      <c r="F28" s="91">
        <f t="shared" si="2"/>
        <v>450</v>
      </c>
      <c r="G28" s="91">
        <f t="shared" si="5"/>
        <v>714.124125</v>
      </c>
      <c r="H28" s="91">
        <f t="shared" si="3"/>
        <v>0</v>
      </c>
      <c r="I28" s="91">
        <f t="shared" si="6"/>
        <v>4079.83033125</v>
      </c>
      <c r="J28" s="92">
        <f t="shared" si="4"/>
        <v>0</v>
      </c>
    </row>
    <row r="29" spans="2:10" ht="12.75">
      <c r="B29" s="30">
        <v>4</v>
      </c>
      <c r="C29" s="89">
        <v>0.1</v>
      </c>
      <c r="D29" s="3">
        <f t="shared" si="1"/>
        <v>0.22</v>
      </c>
      <c r="E29" s="89">
        <v>0.5</v>
      </c>
      <c r="F29" s="91">
        <f t="shared" si="2"/>
        <v>500</v>
      </c>
      <c r="G29" s="91">
        <f t="shared" si="5"/>
        <v>714.124125</v>
      </c>
      <c r="H29" s="91">
        <f t="shared" si="3"/>
        <v>0</v>
      </c>
      <c r="I29" s="91">
        <f t="shared" si="6"/>
        <v>4029.83033125</v>
      </c>
      <c r="J29" s="92">
        <f t="shared" si="4"/>
        <v>0</v>
      </c>
    </row>
    <row r="30" spans="2:10" ht="12.75">
      <c r="B30" s="30">
        <v>5</v>
      </c>
      <c r="C30" s="89">
        <v>0.11</v>
      </c>
      <c r="D30" s="3">
        <f t="shared" si="1"/>
        <v>0.33</v>
      </c>
      <c r="E30" s="89">
        <v>0.55</v>
      </c>
      <c r="F30" s="91">
        <f t="shared" si="2"/>
        <v>550</v>
      </c>
      <c r="G30" s="91">
        <f t="shared" si="5"/>
        <v>714.124125</v>
      </c>
      <c r="H30" s="91">
        <f t="shared" si="3"/>
        <v>0</v>
      </c>
      <c r="I30" s="91">
        <f t="shared" si="6"/>
        <v>3979.83033125</v>
      </c>
      <c r="J30" s="92">
        <f t="shared" si="4"/>
        <v>0</v>
      </c>
    </row>
    <row r="31" spans="2:10" ht="12.75">
      <c r="B31" s="30">
        <v>6</v>
      </c>
      <c r="C31" s="89">
        <v>0.12</v>
      </c>
      <c r="D31" s="3">
        <f t="shared" si="1"/>
        <v>0.45</v>
      </c>
      <c r="E31" s="89">
        <v>0.6</v>
      </c>
      <c r="F31" s="91">
        <f t="shared" si="2"/>
        <v>600</v>
      </c>
      <c r="G31" s="91">
        <f t="shared" si="5"/>
        <v>714.124125</v>
      </c>
      <c r="H31" s="91">
        <f t="shared" si="3"/>
        <v>0</v>
      </c>
      <c r="I31" s="91">
        <f t="shared" si="6"/>
        <v>3929.83033125</v>
      </c>
      <c r="J31" s="92">
        <f t="shared" si="4"/>
        <v>0</v>
      </c>
    </row>
    <row r="32" spans="2:10" ht="12.75">
      <c r="B32" s="30">
        <v>7</v>
      </c>
      <c r="C32" s="89">
        <v>0.1</v>
      </c>
      <c r="D32" s="3">
        <f t="shared" si="1"/>
        <v>0.55</v>
      </c>
      <c r="E32" s="89">
        <v>0.65</v>
      </c>
      <c r="F32" s="91">
        <f t="shared" si="2"/>
        <v>650</v>
      </c>
      <c r="G32" s="91">
        <f t="shared" si="5"/>
        <v>714.124125</v>
      </c>
      <c r="H32" s="91">
        <f t="shared" si="3"/>
        <v>0</v>
      </c>
      <c r="I32" s="91">
        <f t="shared" si="6"/>
        <v>3879.83033125</v>
      </c>
      <c r="J32" s="92">
        <f t="shared" si="4"/>
        <v>0</v>
      </c>
    </row>
    <row r="33" spans="2:10" ht="12.75">
      <c r="B33" s="30">
        <v>8</v>
      </c>
      <c r="C33" s="89">
        <v>0.09</v>
      </c>
      <c r="D33" s="3">
        <f t="shared" si="1"/>
        <v>0.64</v>
      </c>
      <c r="E33" s="89">
        <v>0.7</v>
      </c>
      <c r="F33" s="91">
        <f t="shared" si="2"/>
        <v>700</v>
      </c>
      <c r="G33" s="91">
        <f t="shared" si="5"/>
        <v>714.124125</v>
      </c>
      <c r="H33" s="91">
        <f t="shared" si="3"/>
        <v>0</v>
      </c>
      <c r="I33" s="91">
        <f t="shared" si="6"/>
        <v>3829.83033125</v>
      </c>
      <c r="J33" s="92">
        <f t="shared" si="4"/>
        <v>0</v>
      </c>
    </row>
    <row r="34" spans="2:10" ht="12.75">
      <c r="B34" s="30">
        <v>9</v>
      </c>
      <c r="C34" s="89">
        <v>0.06</v>
      </c>
      <c r="D34" s="3">
        <f t="shared" si="1"/>
        <v>0.7</v>
      </c>
      <c r="E34" s="89">
        <v>0.75</v>
      </c>
      <c r="F34" s="91">
        <f t="shared" si="2"/>
        <v>750</v>
      </c>
      <c r="G34" s="91">
        <f t="shared" si="5"/>
        <v>714.124125</v>
      </c>
      <c r="H34" s="91">
        <f t="shared" si="3"/>
        <v>35.87587499999995</v>
      </c>
      <c r="I34" s="91">
        <f t="shared" si="6"/>
        <v>3779.83033125</v>
      </c>
      <c r="J34" s="92">
        <f t="shared" si="4"/>
        <v>0.00996552083333332</v>
      </c>
    </row>
    <row r="35" spans="2:10" ht="12.75">
      <c r="B35" s="30">
        <v>10</v>
      </c>
      <c r="C35" s="89">
        <v>0.05</v>
      </c>
      <c r="D35" s="3">
        <f t="shared" si="1"/>
        <v>0.75</v>
      </c>
      <c r="E35" s="89">
        <v>0.8</v>
      </c>
      <c r="F35" s="91">
        <f t="shared" si="2"/>
        <v>800</v>
      </c>
      <c r="G35" s="91">
        <f t="shared" si="5"/>
        <v>714.124125</v>
      </c>
      <c r="H35" s="91">
        <f t="shared" si="3"/>
        <v>85.87587499999995</v>
      </c>
      <c r="I35" s="91">
        <f t="shared" si="6"/>
        <v>3729.83033125</v>
      </c>
      <c r="J35" s="92">
        <f t="shared" si="4"/>
        <v>0.02385440972222221</v>
      </c>
    </row>
    <row r="36" spans="2:10" ht="12.75">
      <c r="B36" s="30">
        <v>11</v>
      </c>
      <c r="C36" s="89">
        <v>0.04</v>
      </c>
      <c r="D36" s="3">
        <f t="shared" si="1"/>
        <v>0.79</v>
      </c>
      <c r="E36" s="104">
        <v>0.825</v>
      </c>
      <c r="F36" s="91">
        <f t="shared" si="2"/>
        <v>825</v>
      </c>
      <c r="G36" s="91">
        <f t="shared" si="5"/>
        <v>714.124125</v>
      </c>
      <c r="H36" s="91">
        <f t="shared" si="3"/>
        <v>110.87587499999995</v>
      </c>
      <c r="I36" s="91">
        <f t="shared" si="6"/>
        <v>3704.83033125</v>
      </c>
      <c r="J36" s="92">
        <f t="shared" si="4"/>
        <v>0.030798854166666653</v>
      </c>
    </row>
    <row r="37" spans="2:10" ht="12.75">
      <c r="B37" s="30">
        <v>12</v>
      </c>
      <c r="C37" s="89">
        <v>0.04</v>
      </c>
      <c r="D37" s="3">
        <f t="shared" si="1"/>
        <v>0.8300000000000001</v>
      </c>
      <c r="E37" s="104">
        <v>0.85</v>
      </c>
      <c r="F37" s="91">
        <f t="shared" si="2"/>
        <v>850</v>
      </c>
      <c r="G37" s="91">
        <f t="shared" si="5"/>
        <v>714.124125</v>
      </c>
      <c r="H37" s="91">
        <f t="shared" si="3"/>
        <v>135.87587499999995</v>
      </c>
      <c r="I37" s="91">
        <f t="shared" si="6"/>
        <v>3679.83033125</v>
      </c>
      <c r="J37" s="92">
        <f t="shared" si="4"/>
        <v>0.0377432986111111</v>
      </c>
    </row>
    <row r="38" spans="2:10" ht="12.75">
      <c r="B38" s="30">
        <v>13</v>
      </c>
      <c r="C38" s="89">
        <v>0.03</v>
      </c>
      <c r="D38" s="3">
        <f t="shared" si="1"/>
        <v>0.8600000000000001</v>
      </c>
      <c r="E38" s="104">
        <v>0.875</v>
      </c>
      <c r="F38" s="91">
        <f t="shared" si="2"/>
        <v>875</v>
      </c>
      <c r="G38" s="91">
        <f t="shared" si="5"/>
        <v>714.124125</v>
      </c>
      <c r="H38" s="91">
        <f t="shared" si="3"/>
        <v>160.87587499999995</v>
      </c>
      <c r="I38" s="91">
        <f t="shared" si="6"/>
        <v>3654.83033125</v>
      </c>
      <c r="J38" s="92">
        <f t="shared" si="4"/>
        <v>0.04468774305555554</v>
      </c>
    </row>
    <row r="39" spans="2:10" ht="12.75">
      <c r="B39" s="30">
        <v>14</v>
      </c>
      <c r="C39" s="89">
        <v>0.03</v>
      </c>
      <c r="D39" s="3">
        <f t="shared" si="1"/>
        <v>0.8900000000000001</v>
      </c>
      <c r="E39" s="104">
        <v>0.9</v>
      </c>
      <c r="F39" s="91">
        <f t="shared" si="2"/>
        <v>900</v>
      </c>
      <c r="G39" s="91">
        <f t="shared" si="5"/>
        <v>714.124125</v>
      </c>
      <c r="H39" s="91">
        <f t="shared" si="3"/>
        <v>185.87587499999995</v>
      </c>
      <c r="I39" s="91">
        <f t="shared" si="6"/>
        <v>3629.83033125</v>
      </c>
      <c r="J39" s="92">
        <f t="shared" si="4"/>
        <v>0.05163218749999999</v>
      </c>
    </row>
    <row r="40" spans="2:10" ht="12.75">
      <c r="B40" s="30">
        <v>15</v>
      </c>
      <c r="C40" s="89">
        <v>0.03</v>
      </c>
      <c r="D40" s="3">
        <f t="shared" si="1"/>
        <v>0.9200000000000002</v>
      </c>
      <c r="E40" s="104">
        <v>0.925</v>
      </c>
      <c r="F40" s="91">
        <f t="shared" si="2"/>
        <v>925</v>
      </c>
      <c r="G40" s="91">
        <f t="shared" si="5"/>
        <v>714.124125</v>
      </c>
      <c r="H40" s="91">
        <f t="shared" si="3"/>
        <v>210.87587499999995</v>
      </c>
      <c r="I40" s="91">
        <f t="shared" si="6"/>
        <v>3604.83033125</v>
      </c>
      <c r="J40" s="92">
        <f t="shared" si="4"/>
        <v>0.05857663194444443</v>
      </c>
    </row>
    <row r="41" spans="2:10" ht="12.75">
      <c r="B41" s="30">
        <v>16</v>
      </c>
      <c r="C41" s="89">
        <v>0.02</v>
      </c>
      <c r="D41" s="3">
        <f t="shared" si="1"/>
        <v>0.9400000000000002</v>
      </c>
      <c r="E41" s="104">
        <v>0.95</v>
      </c>
      <c r="F41" s="91">
        <f t="shared" si="2"/>
        <v>950</v>
      </c>
      <c r="G41" s="91">
        <f t="shared" si="5"/>
        <v>714.124125</v>
      </c>
      <c r="H41" s="91">
        <f t="shared" si="3"/>
        <v>235.87587499999995</v>
      </c>
      <c r="I41" s="91">
        <f t="shared" si="6"/>
        <v>3579.83033125</v>
      </c>
      <c r="J41" s="92">
        <f t="shared" si="4"/>
        <v>0.06552107638888888</v>
      </c>
    </row>
    <row r="42" spans="2:10" ht="12.75">
      <c r="B42" s="30">
        <v>17</v>
      </c>
      <c r="C42" s="89">
        <v>0.02</v>
      </c>
      <c r="D42" s="3">
        <f t="shared" si="1"/>
        <v>0.9600000000000002</v>
      </c>
      <c r="E42" s="104">
        <v>0.975</v>
      </c>
      <c r="F42" s="91">
        <f t="shared" si="2"/>
        <v>975</v>
      </c>
      <c r="G42" s="91">
        <f t="shared" si="5"/>
        <v>714.124125</v>
      </c>
      <c r="H42" s="91">
        <f t="shared" si="3"/>
        <v>260.87587499999995</v>
      </c>
      <c r="I42" s="91">
        <f t="shared" si="6"/>
        <v>3554.83033125</v>
      </c>
      <c r="J42" s="92">
        <f t="shared" si="4"/>
        <v>0.07246552083333332</v>
      </c>
    </row>
    <row r="43" spans="2:10" ht="12.75">
      <c r="B43" s="30">
        <v>18</v>
      </c>
      <c r="C43" s="89">
        <v>0.02</v>
      </c>
      <c r="D43" s="3">
        <f t="shared" si="1"/>
        <v>0.9800000000000002</v>
      </c>
      <c r="E43" s="104">
        <v>1</v>
      </c>
      <c r="F43" s="91">
        <f t="shared" si="2"/>
        <v>1000</v>
      </c>
      <c r="G43" s="91">
        <f t="shared" si="5"/>
        <v>714.124125</v>
      </c>
      <c r="H43" s="91">
        <f t="shared" si="3"/>
        <v>285.87587499999995</v>
      </c>
      <c r="I43" s="91">
        <f t="shared" si="6"/>
        <v>3529.83033125</v>
      </c>
      <c r="J43" s="92">
        <f t="shared" si="4"/>
        <v>0.07940996527777776</v>
      </c>
    </row>
    <row r="44" spans="2:10" ht="12.75">
      <c r="B44" s="30">
        <v>19</v>
      </c>
      <c r="C44" s="89">
        <v>0.01</v>
      </c>
      <c r="D44" s="3">
        <f t="shared" si="1"/>
        <v>0.9900000000000002</v>
      </c>
      <c r="E44" s="104">
        <v>1.025</v>
      </c>
      <c r="F44" s="91">
        <f t="shared" si="2"/>
        <v>1025</v>
      </c>
      <c r="G44" s="91">
        <f t="shared" si="5"/>
        <v>714.124125</v>
      </c>
      <c r="H44" s="91">
        <f t="shared" si="3"/>
        <v>310.87587499999995</v>
      </c>
      <c r="I44" s="91">
        <f t="shared" si="6"/>
        <v>3504.83033125</v>
      </c>
      <c r="J44" s="92">
        <f t="shared" si="4"/>
        <v>0.0863544097222222</v>
      </c>
    </row>
    <row r="45" spans="2:10" ht="13.5" thickBot="1">
      <c r="B45" s="37">
        <v>20</v>
      </c>
      <c r="C45" s="90">
        <v>0.01</v>
      </c>
      <c r="D45" s="3">
        <f t="shared" si="1"/>
        <v>1.0000000000000002</v>
      </c>
      <c r="E45" s="105">
        <v>1.05</v>
      </c>
      <c r="F45" s="91">
        <f t="shared" si="2"/>
        <v>1050</v>
      </c>
      <c r="G45" s="91">
        <f t="shared" si="5"/>
        <v>714.124125</v>
      </c>
      <c r="H45" s="91">
        <f t="shared" si="3"/>
        <v>335.87587499999995</v>
      </c>
      <c r="I45" s="91">
        <f t="shared" si="6"/>
        <v>3479.83033125</v>
      </c>
      <c r="J45" s="92">
        <f t="shared" si="4"/>
        <v>0.09329885416666665</v>
      </c>
    </row>
    <row r="46" spans="1:9" ht="12.75">
      <c r="A46" s="37"/>
      <c r="B46" s="2"/>
      <c r="C46" s="3"/>
      <c r="D46" s="2"/>
      <c r="E46" s="4"/>
      <c r="F46" s="15"/>
      <c r="G46" s="4"/>
      <c r="H46" s="4"/>
      <c r="I46" s="7"/>
    </row>
    <row r="47" spans="1:12" ht="26.25">
      <c r="A47" s="43" t="str">
        <f>A1</f>
        <v>Exhibit 5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26.25">
      <c r="A48" s="45" t="str">
        <f>A2</f>
        <v>CASE 5 -- Less Skewed Loss Distribution, Same CS and Risk Load %</v>
      </c>
      <c r="B48" s="44"/>
      <c r="C48" s="44"/>
      <c r="D48" s="44"/>
      <c r="E48" s="44"/>
      <c r="F48" s="45"/>
      <c r="G48" s="44"/>
      <c r="H48" s="44"/>
      <c r="I48" s="44"/>
      <c r="J48" s="44"/>
      <c r="K48" s="44"/>
      <c r="L48" s="44"/>
    </row>
    <row r="49" spans="6:9" ht="13.5" thickBot="1">
      <c r="F49" s="5"/>
      <c r="I49" s="9"/>
    </row>
    <row r="50" spans="2:10" ht="20.25" thickBot="1" thickTop="1">
      <c r="B50" s="20"/>
      <c r="C50" s="21"/>
      <c r="D50" s="67"/>
      <c r="E50" s="67"/>
      <c r="F50" s="29" t="s">
        <v>23</v>
      </c>
      <c r="G50" s="67"/>
      <c r="H50" s="67"/>
      <c r="I50" s="67"/>
      <c r="J50" s="68"/>
    </row>
    <row r="51" spans="2:10" ht="13.5" thickBot="1">
      <c r="B51" s="69"/>
      <c r="C51" s="127" t="s">
        <v>67</v>
      </c>
      <c r="D51" s="128">
        <v>1</v>
      </c>
      <c r="E51" s="128">
        <v>2</v>
      </c>
      <c r="F51" s="128">
        <v>3</v>
      </c>
      <c r="G51" s="128">
        <v>4</v>
      </c>
      <c r="H51" s="128">
        <v>5</v>
      </c>
      <c r="I51" s="128">
        <v>6</v>
      </c>
      <c r="J51" s="129">
        <v>7</v>
      </c>
    </row>
    <row r="52" spans="2:11" ht="16.5" thickTop="1">
      <c r="B52" s="70" t="str">
        <f>"["&amp;TEXT(VALUE(MID(J18,2,LEN(J18)-2))+1,"#")&amp;"]"</f>
        <v>[24]</v>
      </c>
      <c r="C52" s="71" t="s">
        <v>0</v>
      </c>
      <c r="D52" s="11">
        <v>0.25</v>
      </c>
      <c r="E52" s="12">
        <v>0.25</v>
      </c>
      <c r="F52" s="12">
        <v>0.25</v>
      </c>
      <c r="G52" s="12">
        <v>0.25</v>
      </c>
      <c r="H52" s="12">
        <v>1</v>
      </c>
      <c r="I52" s="12">
        <v>2</v>
      </c>
      <c r="J52" s="75">
        <v>999.99</v>
      </c>
      <c r="K52" s="83" t="s">
        <v>41</v>
      </c>
    </row>
    <row r="53" spans="2:11" ht="16.5" thickBot="1">
      <c r="B53" s="65" t="str">
        <f>"["&amp;TEXT(VALUE(MID(B52,2,LEN(B52)-2))+1,"#")&amp;"]"</f>
        <v>[25]</v>
      </c>
      <c r="C53" s="72" t="s">
        <v>1</v>
      </c>
      <c r="D53" s="76">
        <v>0</v>
      </c>
      <c r="E53" s="73">
        <v>0.25</v>
      </c>
      <c r="F53" s="73">
        <v>0.5</v>
      </c>
      <c r="G53" s="73">
        <v>0.75</v>
      </c>
      <c r="H53" s="73">
        <v>1</v>
      </c>
      <c r="I53" s="73">
        <v>2</v>
      </c>
      <c r="J53" s="74">
        <v>4</v>
      </c>
      <c r="K53" s="86" t="s">
        <v>41</v>
      </c>
    </row>
    <row r="54" ht="13.5" thickTop="1"/>
    <row r="55" spans="2:10" s="103" customFormat="1" ht="15.75">
      <c r="B55" s="34" t="str">
        <f>B18</f>
        <v>[15]</v>
      </c>
      <c r="D55" s="34" t="str">
        <f>"["&amp;TEXT(VALUE(MID(B53,2,LEN(B53)-2))+1,"#")&amp;"]"</f>
        <v>[26]</v>
      </c>
      <c r="E55" s="34" t="str">
        <f aca="true" t="shared" si="7" ref="E55:J55">"["&amp;TEXT(VALUE(MID(D55,2,LEN(D55)-2))+1,"#")&amp;"]"</f>
        <v>[27]</v>
      </c>
      <c r="F55" s="34" t="str">
        <f t="shared" si="7"/>
        <v>[28]</v>
      </c>
      <c r="G55" s="34" t="str">
        <f t="shared" si="7"/>
        <v>[29]</v>
      </c>
      <c r="H55" s="34" t="str">
        <f t="shared" si="7"/>
        <v>[30]</v>
      </c>
      <c r="I55" s="34" t="str">
        <f t="shared" si="7"/>
        <v>[31]</v>
      </c>
      <c r="J55" s="34" t="str">
        <f t="shared" si="7"/>
        <v>[32]</v>
      </c>
    </row>
    <row r="56" ht="13.5" thickBot="1"/>
    <row r="57" spans="4:11" ht="13.5" thickTop="1">
      <c r="D57" s="10" t="s">
        <v>9</v>
      </c>
      <c r="E57" s="10" t="s">
        <v>10</v>
      </c>
      <c r="F57" s="10" t="s">
        <v>11</v>
      </c>
      <c r="G57" s="10" t="s">
        <v>12</v>
      </c>
      <c r="H57" s="10" t="s">
        <v>13</v>
      </c>
      <c r="I57" s="10" t="s">
        <v>14</v>
      </c>
      <c r="J57" s="10" t="s">
        <v>15</v>
      </c>
      <c r="K57" s="83" t="s">
        <v>44</v>
      </c>
    </row>
    <row r="58" spans="2:11" ht="12.75">
      <c r="B58" s="39" t="s">
        <v>68</v>
      </c>
      <c r="D58" s="10" t="s">
        <v>6</v>
      </c>
      <c r="E58" s="10" t="s">
        <v>6</v>
      </c>
      <c r="F58" s="10" t="s">
        <v>6</v>
      </c>
      <c r="G58" s="10" t="s">
        <v>6</v>
      </c>
      <c r="H58" s="10" t="s">
        <v>6</v>
      </c>
      <c r="I58" s="10" t="s">
        <v>6</v>
      </c>
      <c r="J58" s="10" t="s">
        <v>6</v>
      </c>
      <c r="K58" s="84" t="str">
        <f>"MAX( 0, MIN( "&amp;H18&amp;" -"</f>
        <v>MAX( 0, MIN( [21] -</v>
      </c>
    </row>
    <row r="59" spans="8:11" ht="13.5" thickBot="1">
      <c r="H59" s="6"/>
      <c r="I59" s="6"/>
      <c r="K59" s="81" t="str">
        <f>B53&amp;" * "&amp;E5&amp;", "&amp;B52&amp;" * "&amp;E5&amp;" ) )"</f>
        <v>[25] * [1], [24] * [1] ) )</v>
      </c>
    </row>
    <row r="60" spans="2:10" ht="13.5" thickTop="1">
      <c r="B60" s="30">
        <v>1</v>
      </c>
      <c r="D60" s="8">
        <f aca="true" t="shared" si="8" ref="D60:J69">MAX(0,MIN($H26-D$53*$H$5,D$52*$H$5))</f>
        <v>0</v>
      </c>
      <c r="E60" s="8">
        <f t="shared" si="8"/>
        <v>0</v>
      </c>
      <c r="F60" s="8">
        <f t="shared" si="8"/>
        <v>0</v>
      </c>
      <c r="G60" s="8">
        <f t="shared" si="8"/>
        <v>0</v>
      </c>
      <c r="H60" s="8">
        <f t="shared" si="8"/>
        <v>0</v>
      </c>
      <c r="I60" s="8">
        <f t="shared" si="8"/>
        <v>0</v>
      </c>
      <c r="J60" s="8">
        <f t="shared" si="8"/>
        <v>0</v>
      </c>
    </row>
    <row r="61" spans="2:10" ht="12.75">
      <c r="B61" s="30">
        <v>2</v>
      </c>
      <c r="D61" s="8">
        <f t="shared" si="8"/>
        <v>0</v>
      </c>
      <c r="E61" s="8">
        <f t="shared" si="8"/>
        <v>0</v>
      </c>
      <c r="F61" s="8">
        <f t="shared" si="8"/>
        <v>0</v>
      </c>
      <c r="G61" s="8">
        <f t="shared" si="8"/>
        <v>0</v>
      </c>
      <c r="H61" s="8">
        <f t="shared" si="8"/>
        <v>0</v>
      </c>
      <c r="I61" s="8">
        <f t="shared" si="8"/>
        <v>0</v>
      </c>
      <c r="J61" s="8">
        <f t="shared" si="8"/>
        <v>0</v>
      </c>
    </row>
    <row r="62" spans="2:11" ht="12.75">
      <c r="B62" s="30">
        <v>3</v>
      </c>
      <c r="D62" s="8">
        <f t="shared" si="8"/>
        <v>0</v>
      </c>
      <c r="E62" s="8">
        <f t="shared" si="8"/>
        <v>0</v>
      </c>
      <c r="F62" s="8">
        <f t="shared" si="8"/>
        <v>0</v>
      </c>
      <c r="G62" s="8">
        <f t="shared" si="8"/>
        <v>0</v>
      </c>
      <c r="H62" s="8">
        <f t="shared" si="8"/>
        <v>0</v>
      </c>
      <c r="I62" s="8">
        <f t="shared" si="8"/>
        <v>0</v>
      </c>
      <c r="J62" s="8">
        <f t="shared" si="8"/>
        <v>0</v>
      </c>
      <c r="K62" s="40"/>
    </row>
    <row r="63" spans="2:10" ht="12.75">
      <c r="B63" s="30">
        <v>4</v>
      </c>
      <c r="D63" s="8">
        <f t="shared" si="8"/>
        <v>0</v>
      </c>
      <c r="E63" s="8">
        <f t="shared" si="8"/>
        <v>0</v>
      </c>
      <c r="F63" s="8">
        <f t="shared" si="8"/>
        <v>0</v>
      </c>
      <c r="G63" s="8">
        <f t="shared" si="8"/>
        <v>0</v>
      </c>
      <c r="H63" s="8">
        <f t="shared" si="8"/>
        <v>0</v>
      </c>
      <c r="I63" s="8">
        <f t="shared" si="8"/>
        <v>0</v>
      </c>
      <c r="J63" s="8">
        <f t="shared" si="8"/>
        <v>0</v>
      </c>
    </row>
    <row r="64" spans="2:10" ht="12.75">
      <c r="B64" s="30">
        <v>5</v>
      </c>
      <c r="D64" s="8">
        <f t="shared" si="8"/>
        <v>0</v>
      </c>
      <c r="E64" s="8">
        <f t="shared" si="8"/>
        <v>0</v>
      </c>
      <c r="F64" s="8">
        <f t="shared" si="8"/>
        <v>0</v>
      </c>
      <c r="G64" s="8">
        <f t="shared" si="8"/>
        <v>0</v>
      </c>
      <c r="H64" s="8">
        <f t="shared" si="8"/>
        <v>0</v>
      </c>
      <c r="I64" s="8">
        <f t="shared" si="8"/>
        <v>0</v>
      </c>
      <c r="J64" s="8">
        <f t="shared" si="8"/>
        <v>0</v>
      </c>
    </row>
    <row r="65" spans="2:10" ht="12.75">
      <c r="B65" s="30">
        <v>6</v>
      </c>
      <c r="D65" s="8">
        <f t="shared" si="8"/>
        <v>0</v>
      </c>
      <c r="E65" s="8">
        <f t="shared" si="8"/>
        <v>0</v>
      </c>
      <c r="F65" s="8">
        <f t="shared" si="8"/>
        <v>0</v>
      </c>
      <c r="G65" s="8">
        <f t="shared" si="8"/>
        <v>0</v>
      </c>
      <c r="H65" s="8">
        <f t="shared" si="8"/>
        <v>0</v>
      </c>
      <c r="I65" s="8">
        <f t="shared" si="8"/>
        <v>0</v>
      </c>
      <c r="J65" s="8">
        <f t="shared" si="8"/>
        <v>0</v>
      </c>
    </row>
    <row r="66" spans="2:10" ht="12.75">
      <c r="B66" s="30">
        <v>7</v>
      </c>
      <c r="D66" s="8">
        <f t="shared" si="8"/>
        <v>0</v>
      </c>
      <c r="E66" s="8">
        <f t="shared" si="8"/>
        <v>0</v>
      </c>
      <c r="F66" s="8">
        <f t="shared" si="8"/>
        <v>0</v>
      </c>
      <c r="G66" s="8">
        <f t="shared" si="8"/>
        <v>0</v>
      </c>
      <c r="H66" s="8">
        <f t="shared" si="8"/>
        <v>0</v>
      </c>
      <c r="I66" s="8">
        <f t="shared" si="8"/>
        <v>0</v>
      </c>
      <c r="J66" s="8">
        <f t="shared" si="8"/>
        <v>0</v>
      </c>
    </row>
    <row r="67" spans="2:10" ht="12.75">
      <c r="B67" s="30">
        <v>8</v>
      </c>
      <c r="D67" s="8">
        <f t="shared" si="8"/>
        <v>0</v>
      </c>
      <c r="E67" s="8">
        <f t="shared" si="8"/>
        <v>0</v>
      </c>
      <c r="F67" s="8">
        <f t="shared" si="8"/>
        <v>0</v>
      </c>
      <c r="G67" s="8">
        <f t="shared" si="8"/>
        <v>0</v>
      </c>
      <c r="H67" s="8">
        <f t="shared" si="8"/>
        <v>0</v>
      </c>
      <c r="I67" s="8">
        <f t="shared" si="8"/>
        <v>0</v>
      </c>
      <c r="J67" s="8">
        <f t="shared" si="8"/>
        <v>0</v>
      </c>
    </row>
    <row r="68" spans="2:10" ht="12.75">
      <c r="B68" s="30">
        <v>9</v>
      </c>
      <c r="D68" s="8">
        <f t="shared" si="8"/>
        <v>35.87587499999995</v>
      </c>
      <c r="E68" s="8">
        <f t="shared" si="8"/>
        <v>0</v>
      </c>
      <c r="F68" s="8">
        <f t="shared" si="8"/>
        <v>0</v>
      </c>
      <c r="G68" s="8">
        <f t="shared" si="8"/>
        <v>0</v>
      </c>
      <c r="H68" s="8">
        <f t="shared" si="8"/>
        <v>0</v>
      </c>
      <c r="I68" s="8">
        <f t="shared" si="8"/>
        <v>0</v>
      </c>
      <c r="J68" s="8">
        <f t="shared" si="8"/>
        <v>0</v>
      </c>
    </row>
    <row r="69" spans="2:10" ht="12.75">
      <c r="B69" s="30">
        <v>10</v>
      </c>
      <c r="D69" s="8">
        <f t="shared" si="8"/>
        <v>85.87587499999995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</row>
    <row r="70" spans="2:10" ht="12.75">
      <c r="B70" s="30">
        <v>11</v>
      </c>
      <c r="D70" s="8">
        <f aca="true" t="shared" si="9" ref="D70:J79">MAX(0,MIN($H36-D$53*$H$5,D$52*$H$5))</f>
        <v>110.87587499999995</v>
      </c>
      <c r="E70" s="8">
        <f t="shared" si="9"/>
        <v>0</v>
      </c>
      <c r="F70" s="8">
        <f t="shared" si="9"/>
        <v>0</v>
      </c>
      <c r="G70" s="8">
        <f t="shared" si="9"/>
        <v>0</v>
      </c>
      <c r="H70" s="8">
        <f t="shared" si="9"/>
        <v>0</v>
      </c>
      <c r="I70" s="8">
        <f t="shared" si="9"/>
        <v>0</v>
      </c>
      <c r="J70" s="8">
        <f t="shared" si="9"/>
        <v>0</v>
      </c>
    </row>
    <row r="71" spans="2:10" ht="12.75">
      <c r="B71" s="30">
        <v>12</v>
      </c>
      <c r="D71" s="8">
        <f t="shared" si="9"/>
        <v>135.87587499999995</v>
      </c>
      <c r="E71" s="8">
        <f t="shared" si="9"/>
        <v>0</v>
      </c>
      <c r="F71" s="8">
        <f t="shared" si="9"/>
        <v>0</v>
      </c>
      <c r="G71" s="8">
        <f t="shared" si="9"/>
        <v>0</v>
      </c>
      <c r="H71" s="8">
        <f t="shared" si="9"/>
        <v>0</v>
      </c>
      <c r="I71" s="8">
        <f t="shared" si="9"/>
        <v>0</v>
      </c>
      <c r="J71" s="8">
        <f t="shared" si="9"/>
        <v>0</v>
      </c>
    </row>
    <row r="72" spans="2:10" ht="12.75">
      <c r="B72" s="30">
        <v>13</v>
      </c>
      <c r="D72" s="8">
        <f t="shared" si="9"/>
        <v>160.87587499999995</v>
      </c>
      <c r="E72" s="8">
        <f t="shared" si="9"/>
        <v>0</v>
      </c>
      <c r="F72" s="8">
        <f t="shared" si="9"/>
        <v>0</v>
      </c>
      <c r="G72" s="8">
        <f t="shared" si="9"/>
        <v>0</v>
      </c>
      <c r="H72" s="8">
        <f t="shared" si="9"/>
        <v>0</v>
      </c>
      <c r="I72" s="8">
        <f t="shared" si="9"/>
        <v>0</v>
      </c>
      <c r="J72" s="8">
        <f t="shared" si="9"/>
        <v>0</v>
      </c>
    </row>
    <row r="73" spans="2:10" ht="12.75">
      <c r="B73" s="30">
        <v>14</v>
      </c>
      <c r="D73" s="8">
        <f t="shared" si="9"/>
        <v>185.87587499999995</v>
      </c>
      <c r="E73" s="8">
        <f t="shared" si="9"/>
        <v>0</v>
      </c>
      <c r="F73" s="8">
        <f t="shared" si="9"/>
        <v>0</v>
      </c>
      <c r="G73" s="8">
        <f t="shared" si="9"/>
        <v>0</v>
      </c>
      <c r="H73" s="8">
        <f t="shared" si="9"/>
        <v>0</v>
      </c>
      <c r="I73" s="8">
        <f t="shared" si="9"/>
        <v>0</v>
      </c>
      <c r="J73" s="8">
        <f t="shared" si="9"/>
        <v>0</v>
      </c>
    </row>
    <row r="74" spans="2:10" ht="12.75">
      <c r="B74" s="30">
        <v>15</v>
      </c>
      <c r="D74" s="8">
        <f t="shared" si="9"/>
        <v>210.87587499999995</v>
      </c>
      <c r="E74" s="8">
        <f t="shared" si="9"/>
        <v>0</v>
      </c>
      <c r="F74" s="8">
        <f t="shared" si="9"/>
        <v>0</v>
      </c>
      <c r="G74" s="8">
        <f t="shared" si="9"/>
        <v>0</v>
      </c>
      <c r="H74" s="8">
        <f t="shared" si="9"/>
        <v>0</v>
      </c>
      <c r="I74" s="8">
        <f t="shared" si="9"/>
        <v>0</v>
      </c>
      <c r="J74" s="8">
        <f t="shared" si="9"/>
        <v>0</v>
      </c>
    </row>
    <row r="75" spans="2:10" ht="12.75">
      <c r="B75" s="30">
        <v>16</v>
      </c>
      <c r="D75" s="8">
        <f t="shared" si="9"/>
        <v>235.87587499999995</v>
      </c>
      <c r="E75" s="8">
        <f t="shared" si="9"/>
        <v>0</v>
      </c>
      <c r="F75" s="8">
        <f t="shared" si="9"/>
        <v>0</v>
      </c>
      <c r="G75" s="8">
        <f t="shared" si="9"/>
        <v>0</v>
      </c>
      <c r="H75" s="8">
        <f t="shared" si="9"/>
        <v>0</v>
      </c>
      <c r="I75" s="8">
        <f t="shared" si="9"/>
        <v>0</v>
      </c>
      <c r="J75" s="8">
        <f t="shared" si="9"/>
        <v>0</v>
      </c>
    </row>
    <row r="76" spans="2:10" ht="12.75">
      <c r="B76" s="30">
        <v>17</v>
      </c>
      <c r="D76" s="8">
        <f t="shared" si="9"/>
        <v>260.87587499999995</v>
      </c>
      <c r="E76" s="8">
        <f t="shared" si="9"/>
        <v>0</v>
      </c>
      <c r="F76" s="8">
        <f t="shared" si="9"/>
        <v>0</v>
      </c>
      <c r="G76" s="8">
        <f t="shared" si="9"/>
        <v>0</v>
      </c>
      <c r="H76" s="8">
        <f t="shared" si="9"/>
        <v>0</v>
      </c>
      <c r="I76" s="8">
        <f t="shared" si="9"/>
        <v>0</v>
      </c>
      <c r="J76" s="8">
        <f t="shared" si="9"/>
        <v>0</v>
      </c>
    </row>
    <row r="77" spans="2:10" ht="12.75">
      <c r="B77" s="30">
        <v>18</v>
      </c>
      <c r="D77" s="8">
        <f t="shared" si="9"/>
        <v>285.87587499999995</v>
      </c>
      <c r="E77" s="8">
        <f t="shared" si="9"/>
        <v>0</v>
      </c>
      <c r="F77" s="8">
        <f t="shared" si="9"/>
        <v>0</v>
      </c>
      <c r="G77" s="8">
        <f t="shared" si="9"/>
        <v>0</v>
      </c>
      <c r="H77" s="8">
        <f t="shared" si="9"/>
        <v>0</v>
      </c>
      <c r="I77" s="8">
        <f t="shared" si="9"/>
        <v>0</v>
      </c>
      <c r="J77" s="8">
        <f t="shared" si="9"/>
        <v>0</v>
      </c>
    </row>
    <row r="78" spans="2:10" ht="12.75">
      <c r="B78" s="30">
        <v>19</v>
      </c>
      <c r="D78" s="8">
        <f t="shared" si="9"/>
        <v>310.87587499999995</v>
      </c>
      <c r="E78" s="8">
        <f t="shared" si="9"/>
        <v>0</v>
      </c>
      <c r="F78" s="8">
        <f t="shared" si="9"/>
        <v>0</v>
      </c>
      <c r="G78" s="8">
        <f t="shared" si="9"/>
        <v>0</v>
      </c>
      <c r="H78" s="8">
        <f t="shared" si="9"/>
        <v>0</v>
      </c>
      <c r="I78" s="8">
        <f t="shared" si="9"/>
        <v>0</v>
      </c>
      <c r="J78" s="8">
        <f t="shared" si="9"/>
        <v>0</v>
      </c>
    </row>
    <row r="79" spans="2:10" ht="12.75">
      <c r="B79" s="37">
        <v>20</v>
      </c>
      <c r="D79" s="8">
        <f t="shared" si="9"/>
        <v>335.87587499999995</v>
      </c>
      <c r="E79" s="8">
        <f t="shared" si="9"/>
        <v>0</v>
      </c>
      <c r="F79" s="8">
        <f t="shared" si="9"/>
        <v>0</v>
      </c>
      <c r="G79" s="8">
        <f t="shared" si="9"/>
        <v>0</v>
      </c>
      <c r="H79" s="8">
        <f t="shared" si="9"/>
        <v>0</v>
      </c>
      <c r="I79" s="8">
        <f t="shared" si="9"/>
        <v>0</v>
      </c>
      <c r="J79" s="8">
        <f t="shared" si="9"/>
        <v>0</v>
      </c>
    </row>
    <row r="80" spans="4:10" ht="12.75">
      <c r="D80" s="8"/>
      <c r="E80" s="8"/>
      <c r="F80" s="8"/>
      <c r="G80" s="8"/>
      <c r="H80" s="8"/>
      <c r="I80" s="8"/>
      <c r="J80" s="8"/>
    </row>
    <row r="81" ht="13.5" thickBot="1"/>
    <row r="82" spans="1:11" ht="16.5" thickTop="1">
      <c r="A82" s="77" t="str">
        <f>"["&amp;TEXT(VALUE(MID(J55,2,LEN(J55)-2))+1,"#")&amp;"]"</f>
        <v>[33]</v>
      </c>
      <c r="B82" s="60" t="s">
        <v>40</v>
      </c>
      <c r="C82" s="21"/>
      <c r="D82" s="93">
        <f aca="true" t="shared" si="10" ref="D82:J82">SUMPRODUCT($C26:$C45,D60:D79)</f>
        <v>55.165314999999985</v>
      </c>
      <c r="E82" s="93">
        <f t="shared" si="10"/>
        <v>0</v>
      </c>
      <c r="F82" s="93">
        <f t="shared" si="10"/>
        <v>0</v>
      </c>
      <c r="G82" s="93">
        <f t="shared" si="10"/>
        <v>0</v>
      </c>
      <c r="H82" s="93">
        <f t="shared" si="10"/>
        <v>0</v>
      </c>
      <c r="I82" s="93">
        <f t="shared" si="10"/>
        <v>0</v>
      </c>
      <c r="J82" s="94">
        <f t="shared" si="10"/>
        <v>0</v>
      </c>
      <c r="K82" s="49" t="s">
        <v>66</v>
      </c>
    </row>
    <row r="83" spans="1:11" ht="16.5" thickBot="1">
      <c r="A83" s="61" t="str">
        <f>"["&amp;TEXT(VALUE(MID(A82,2,LEN(A82)-2))+1,"#")&amp;"]"</f>
        <v>[34]</v>
      </c>
      <c r="B83" s="62" t="s">
        <v>25</v>
      </c>
      <c r="C83" s="22"/>
      <c r="D83" s="95">
        <f aca="true" t="shared" si="11" ref="D83:J83">D$82/$H$5/D$52</f>
        <v>0.061294794444444425</v>
      </c>
      <c r="E83" s="95">
        <f t="shared" si="11"/>
        <v>0</v>
      </c>
      <c r="F83" s="95">
        <f t="shared" si="11"/>
        <v>0</v>
      </c>
      <c r="G83" s="95">
        <f t="shared" si="11"/>
        <v>0</v>
      </c>
      <c r="H83" s="95">
        <f t="shared" si="11"/>
        <v>0</v>
      </c>
      <c r="I83" s="95">
        <f t="shared" si="11"/>
        <v>0</v>
      </c>
      <c r="J83" s="96">
        <f t="shared" si="11"/>
        <v>0</v>
      </c>
      <c r="K83" s="50" t="str">
        <f>"="&amp;A82&amp;" / "&amp;E5&amp;" / "&amp;B52</f>
        <v>=[33] / [1] / [24]</v>
      </c>
    </row>
    <row r="84" spans="1:11" ht="15.75">
      <c r="A84" s="61" t="str">
        <f>"["&amp;TEXT(VALUE(MID(A83,2,LEN(A83)-2))+1,"#")&amp;"]"</f>
        <v>[35]</v>
      </c>
      <c r="B84" s="63" t="s">
        <v>26</v>
      </c>
      <c r="C84" s="22"/>
      <c r="D84" s="18">
        <v>0.1</v>
      </c>
      <c r="E84" s="19">
        <v>0.25</v>
      </c>
      <c r="F84" s="19">
        <v>0.5</v>
      </c>
      <c r="G84" s="19">
        <v>0.75</v>
      </c>
      <c r="H84" s="19">
        <v>1</v>
      </c>
      <c r="I84" s="19">
        <v>2</v>
      </c>
      <c r="J84" s="78">
        <v>4</v>
      </c>
      <c r="K84" s="80" t="s">
        <v>41</v>
      </c>
    </row>
    <row r="85" spans="1:11" ht="16.5" thickBot="1">
      <c r="A85" s="61" t="str">
        <f>"["&amp;TEXT(VALUE(MID(A84,2,LEN(A84)-2))+1,"#")&amp;"]"</f>
        <v>[36]</v>
      </c>
      <c r="B85" s="63" t="s">
        <v>27</v>
      </c>
      <c r="C85" s="22"/>
      <c r="D85" s="16">
        <v>0.001</v>
      </c>
      <c r="E85" s="17">
        <v>0.001</v>
      </c>
      <c r="F85" s="17">
        <v>0.001</v>
      </c>
      <c r="G85" s="17">
        <v>0.001</v>
      </c>
      <c r="H85" s="17">
        <v>0.001</v>
      </c>
      <c r="I85" s="17">
        <v>0.001</v>
      </c>
      <c r="J85" s="79">
        <v>0.001</v>
      </c>
      <c r="K85" s="80" t="s">
        <v>41</v>
      </c>
    </row>
    <row r="86" spans="1:11" ht="15.75">
      <c r="A86" s="61" t="str">
        <f>"["&amp;TEXT(VALUE(MID(A85,2,LEN(A85)-2))+1,"#")&amp;"]"</f>
        <v>[37]</v>
      </c>
      <c r="B86" s="64" t="s">
        <v>34</v>
      </c>
      <c r="C86" s="22"/>
      <c r="D86" s="95">
        <f>IF(D83&gt;0,D85+(1+D84)*D83,0)</f>
        <v>0.06842427388888887</v>
      </c>
      <c r="E86" s="95">
        <f aca="true" t="shared" si="12" ref="E86:J86">IF(E83&gt;0,E85+(1+E84)*E83,0)</f>
        <v>0</v>
      </c>
      <c r="F86" s="95">
        <f t="shared" si="12"/>
        <v>0</v>
      </c>
      <c r="G86" s="95">
        <f t="shared" si="12"/>
        <v>0</v>
      </c>
      <c r="H86" s="95">
        <f t="shared" si="12"/>
        <v>0</v>
      </c>
      <c r="I86" s="95">
        <f t="shared" si="12"/>
        <v>0</v>
      </c>
      <c r="J86" s="96">
        <f t="shared" si="12"/>
        <v>0</v>
      </c>
      <c r="K86" s="50" t="str">
        <f>"="&amp;A83&amp;" *(1+"&amp;A84&amp;" ) + "&amp;A85</f>
        <v>=[34] *(1+[35] ) + [36]</v>
      </c>
    </row>
    <row r="87" spans="1:11" ht="16.5" thickBot="1">
      <c r="A87" s="65" t="str">
        <f>"["&amp;TEXT(VALUE(MID(A86,2,LEN(A86)-2))+1,"#")&amp;"]"</f>
        <v>[38]</v>
      </c>
      <c r="B87" s="66" t="s">
        <v>7</v>
      </c>
      <c r="C87" s="25"/>
      <c r="D87" s="97">
        <f aca="true" t="shared" si="13" ref="D87:J87">D86*D52*$H5</f>
        <v>61.58184649999998</v>
      </c>
      <c r="E87" s="97">
        <f t="shared" si="13"/>
        <v>0</v>
      </c>
      <c r="F87" s="97">
        <f t="shared" si="13"/>
        <v>0</v>
      </c>
      <c r="G87" s="97">
        <f t="shared" si="13"/>
        <v>0</v>
      </c>
      <c r="H87" s="97">
        <f t="shared" si="13"/>
        <v>0</v>
      </c>
      <c r="I87" s="97">
        <f t="shared" si="13"/>
        <v>0</v>
      </c>
      <c r="J87" s="98">
        <f t="shared" si="13"/>
        <v>0</v>
      </c>
      <c r="K87" s="81" t="str">
        <f>"="&amp;A86&amp;" * "&amp;E5&amp;" * "&amp;B52</f>
        <v>=[37] * [1] * [24]</v>
      </c>
    </row>
    <row r="88" ht="16.5" thickTop="1">
      <c r="A88" s="33"/>
    </row>
  </sheetData>
  <printOptions horizontalCentered="1" verticalCentered="1"/>
  <pageMargins left="0.75" right="0.75" top="0.49" bottom="0.5" header="0.5" footer="0.5"/>
  <pageSetup fitToHeight="2" fitToWidth="1" horizontalDpi="300" verticalDpi="300" orientation="landscape" scale="79" r:id="rId1"/>
  <headerFooter alignWithMargins="0">
    <oddHeader>&amp;R&amp;"Arial,Bold Italic"&amp;14Page &amp;P of &amp;N</oddHeader>
  </headerFooter>
  <rowBreaks count="1" manualBreakCount="1">
    <brk id="46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111">
    <pageSetUpPr fitToPage="1"/>
  </sheetPr>
  <dimension ref="A1:L8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13.421875" style="0" customWidth="1"/>
    <col min="3" max="4" width="13.00390625" style="0" customWidth="1"/>
    <col min="5" max="5" width="13.28125" style="0" customWidth="1"/>
    <col min="6" max="6" width="15.7109375" style="0" customWidth="1"/>
    <col min="7" max="7" width="13.8515625" style="0" customWidth="1"/>
    <col min="8" max="8" width="12.140625" style="0" customWidth="1"/>
    <col min="9" max="9" width="15.421875" style="0" customWidth="1"/>
    <col min="10" max="10" width="13.7109375" style="0" customWidth="1"/>
    <col min="11" max="11" width="19.8515625" style="0" customWidth="1"/>
    <col min="12" max="12" width="14.140625" style="0" customWidth="1"/>
    <col min="13" max="16" width="11.421875" style="0" customWidth="1"/>
    <col min="17" max="17" width="11.7109375" style="0" customWidth="1"/>
  </cols>
  <sheetData>
    <row r="1" spans="1:12" ht="26.25">
      <c r="A1" s="43" t="s">
        <v>58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6.25">
      <c r="A2" s="45" t="s">
        <v>49</v>
      </c>
      <c r="B2" s="44"/>
      <c r="C2" s="44"/>
      <c r="D2" s="44"/>
      <c r="E2" s="44"/>
      <c r="F2" s="45"/>
      <c r="G2" s="44"/>
      <c r="H2" s="44"/>
      <c r="I2" s="44"/>
      <c r="J2" s="44"/>
      <c r="K2" s="44"/>
      <c r="L2" s="44"/>
    </row>
    <row r="3" ht="13.5" thickBot="1">
      <c r="A3" s="1"/>
    </row>
    <row r="4" spans="1:11" ht="20.25" thickBot="1" thickTop="1">
      <c r="A4" s="1"/>
      <c r="E4" s="52"/>
      <c r="F4" s="55"/>
      <c r="G4" s="55" t="s">
        <v>32</v>
      </c>
      <c r="H4" s="54"/>
      <c r="I4" s="59"/>
      <c r="J4" s="13"/>
      <c r="K4" s="22"/>
    </row>
    <row r="5" spans="1:12" ht="17.25" thickBot="1" thickTop="1">
      <c r="A5" s="1"/>
      <c r="E5" s="106" t="s">
        <v>31</v>
      </c>
      <c r="F5" s="111" t="s">
        <v>75</v>
      </c>
      <c r="G5" s="115"/>
      <c r="H5" s="116">
        <v>2955</v>
      </c>
      <c r="I5" s="83" t="s">
        <v>41</v>
      </c>
      <c r="L5" s="40"/>
    </row>
    <row r="6" spans="1:9" ht="16.5" thickBot="1">
      <c r="A6" s="1"/>
      <c r="E6" s="106" t="str">
        <f>"["&amp;TEXT(VALUE(MID(E5,2,LEN(E5)-2))+1,"#")&amp;"]"</f>
        <v>[2]</v>
      </c>
      <c r="F6" s="110" t="s">
        <v>18</v>
      </c>
      <c r="G6" s="115"/>
      <c r="H6" s="118">
        <v>0.0454</v>
      </c>
      <c r="I6" s="87" t="s">
        <v>41</v>
      </c>
    </row>
    <row r="7" spans="1:9" ht="16.5" thickBot="1">
      <c r="A7" s="1"/>
      <c r="E7" s="35" t="str">
        <f>"["&amp;TEXT(VALUE(MID(E6,2,LEN(E6)-2))+1,"#")&amp;"]"</f>
        <v>[3]</v>
      </c>
      <c r="F7" s="22" t="s">
        <v>21</v>
      </c>
      <c r="G7" s="124"/>
      <c r="H7" s="125">
        <v>1000</v>
      </c>
      <c r="I7" s="87" t="s">
        <v>41</v>
      </c>
    </row>
    <row r="8" spans="1:9" ht="16.5" thickBot="1">
      <c r="A8" s="1"/>
      <c r="E8" s="36" t="str">
        <f>"["&amp;TEXT(VALUE(MID(E7,2,LEN(E7)-2))+1,"#")&amp;"]"</f>
        <v>[4]</v>
      </c>
      <c r="F8" s="25" t="s">
        <v>64</v>
      </c>
      <c r="G8" s="26"/>
      <c r="H8" s="126">
        <v>0.05</v>
      </c>
      <c r="I8" s="86" t="s">
        <v>41</v>
      </c>
    </row>
    <row r="9" spans="1:11" ht="17.25" thickBot="1" thickTop="1">
      <c r="A9" s="1"/>
      <c r="C9" s="41"/>
      <c r="D9" s="22"/>
      <c r="E9" s="13"/>
      <c r="F9" s="13"/>
      <c r="H9" s="41"/>
      <c r="I9" s="28"/>
      <c r="J9" s="22"/>
      <c r="K9" s="32"/>
    </row>
    <row r="10" spans="1:11" ht="20.25" thickBot="1" thickTop="1">
      <c r="A10" s="1"/>
      <c r="B10" s="52"/>
      <c r="C10" s="53"/>
      <c r="D10" s="54"/>
      <c r="E10" s="21"/>
      <c r="F10" s="55"/>
      <c r="G10" s="55" t="s">
        <v>33</v>
      </c>
      <c r="H10" s="53"/>
      <c r="I10" s="56"/>
      <c r="J10" s="54"/>
      <c r="K10" s="57"/>
    </row>
    <row r="11" spans="1:11" ht="16.5" thickTop="1">
      <c r="A11" s="1"/>
      <c r="B11" s="46" t="str">
        <f>"["&amp;TEXT(VALUE(MID(E8,2,LEN(E8)-2))+1,"#")&amp;"]"</f>
        <v>[5]</v>
      </c>
      <c r="C11" s="47" t="s">
        <v>19</v>
      </c>
      <c r="D11" s="48"/>
      <c r="E11" s="99">
        <f>H6*E12</f>
        <v>30.54285</v>
      </c>
      <c r="F11" s="49" t="str">
        <f>"="&amp;E6&amp;" * "&amp;B12</f>
        <v>=[2] * [6]</v>
      </c>
      <c r="G11" s="46" t="str">
        <f>"["&amp;TEXT(VALUE(MID(B15,2,LEN(B15)-2))+1,"#")&amp;"]"</f>
        <v>[10]</v>
      </c>
      <c r="H11" s="21" t="s">
        <v>39</v>
      </c>
      <c r="I11" s="21"/>
      <c r="J11" s="93">
        <f>SUMPRODUCT($C26:$C45,I26:I45)</f>
        <v>3168.4574925000006</v>
      </c>
      <c r="K11" s="49" t="str">
        <f>"=E{ "&amp;I18&amp;" }"</f>
        <v>=E{ [22] }</v>
      </c>
    </row>
    <row r="12" spans="1:11" ht="15.75">
      <c r="A12" s="1"/>
      <c r="B12" s="35" t="str">
        <f>"["&amp;TEXT(VALUE(MID(B11,2,LEN(B11)-2))+1,"#")&amp;"]"</f>
        <v>[6]</v>
      </c>
      <c r="C12" s="28" t="s">
        <v>37</v>
      </c>
      <c r="D12" s="22"/>
      <c r="E12" s="14">
        <f>SUMPRODUCT($C26:$C45,F26:F45)</f>
        <v>672.75</v>
      </c>
      <c r="F12" s="50" t="str">
        <f>"=E{ "&amp;F18&amp;" }"</f>
        <v>=E{ [19] }</v>
      </c>
      <c r="G12" s="106" t="str">
        <f>"["&amp;TEXT(VALUE(MID(G11,2,LEN(G11)-2))+1,"#")&amp;"]"</f>
        <v>[11]</v>
      </c>
      <c r="H12" s="110" t="s">
        <v>20</v>
      </c>
      <c r="I12" s="111"/>
      <c r="J12" s="107">
        <f>J11/H5-1</f>
        <v>0.07223603807106627</v>
      </c>
      <c r="K12" s="112" t="str">
        <f>"="&amp;G11&amp;" / "&amp;E5&amp;" - 1.00"</f>
        <v>=[10] / [1] - 1.00</v>
      </c>
    </row>
    <row r="13" spans="1:11" ht="15.75">
      <c r="A13" s="1"/>
      <c r="B13" s="35" t="str">
        <f>"["&amp;TEXT(VALUE(MID(B12,2,LEN(B12)-2))+1,"#")&amp;"]"</f>
        <v>[7]</v>
      </c>
      <c r="C13" s="28" t="s">
        <v>22</v>
      </c>
      <c r="D13" s="22"/>
      <c r="E13" s="100">
        <f>E11+H5+E12</f>
        <v>3658.29285</v>
      </c>
      <c r="F13" s="50" t="str">
        <f>"="&amp;E5&amp;" +"&amp;B11&amp;" +"&amp;B12</f>
        <v>=[1] +[5] +[6]</v>
      </c>
      <c r="G13" s="35" t="str">
        <f>"["&amp;TEXT(VALUE(MID(G12,2,LEN(G12)-2))+1,"#")&amp;"]"</f>
        <v>[12]</v>
      </c>
      <c r="H13" s="27" t="s">
        <v>35</v>
      </c>
      <c r="I13" s="22"/>
      <c r="J13" s="102">
        <f>SUM(D87:J87)</f>
        <v>65.70978139999998</v>
      </c>
      <c r="K13" s="50" t="str">
        <f>"=Sum{ "&amp;A87&amp;" }"</f>
        <v>=Sum{ [38] }</v>
      </c>
    </row>
    <row r="14" spans="1:11" ht="15.75">
      <c r="A14" s="1"/>
      <c r="B14" s="35" t="str">
        <f>"["&amp;TEXT(VALUE(MID(B13,2,LEN(B13)-2))+1,"#")&amp;"]"</f>
        <v>[8]</v>
      </c>
      <c r="C14" s="28" t="s">
        <v>38</v>
      </c>
      <c r="D14" s="22"/>
      <c r="E14" s="14">
        <f>SUMPRODUCT($C26:$C45,H26:H45)</f>
        <v>59.06457399999998</v>
      </c>
      <c r="F14" s="50" t="str">
        <f>"=E{ "&amp;H18&amp;" }"</f>
        <v>=E{ [21] }</v>
      </c>
      <c r="G14" s="106" t="str">
        <f>"["&amp;TEXT(VALUE(MID(G13,2,LEN(G13)-2))+1,"#")&amp;"]"</f>
        <v>[13]</v>
      </c>
      <c r="H14" s="111" t="s">
        <v>8</v>
      </c>
      <c r="I14" s="111"/>
      <c r="J14" s="107">
        <f>J13/H5+H8</f>
        <v>0.07223681265651438</v>
      </c>
      <c r="K14" s="112" t="str">
        <f>"="&amp;G13&amp;" / "&amp;E5&amp;" + "&amp;E8</f>
        <v>=[12] / [1] + [4]</v>
      </c>
    </row>
    <row r="15" spans="1:11" ht="16.5" thickBot="1">
      <c r="A15" s="1"/>
      <c r="B15" s="108" t="str">
        <f>"["&amp;TEXT(VALUE(MID(B14,2,LEN(B14)-2))+1,"#")&amp;"]"</f>
        <v>[9]</v>
      </c>
      <c r="C15" s="113" t="s">
        <v>65</v>
      </c>
      <c r="D15" s="113"/>
      <c r="E15" s="109">
        <f>E14/H5</f>
        <v>0.01998801150592216</v>
      </c>
      <c r="F15" s="114" t="str">
        <f>"="&amp;B14&amp;" / "&amp;E5</f>
        <v>=[8] / [1]</v>
      </c>
      <c r="G15" s="108" t="str">
        <f>"["&amp;TEXT(VALUE(MID(G14,2,LEN(G14)-2))+1,"#")&amp;"]"</f>
        <v>[14]</v>
      </c>
      <c r="H15" s="113" t="s">
        <v>52</v>
      </c>
      <c r="I15" s="113"/>
      <c r="J15" s="109">
        <f>J14-E15-H8</f>
        <v>0.002248801150592221</v>
      </c>
      <c r="K15" s="114" t="str">
        <f>"="&amp;G14&amp;" - "&amp;B15&amp;" - "&amp;E8</f>
        <v>=[13] - [9] - [4]</v>
      </c>
    </row>
    <row r="16" spans="1:8" ht="16.5" thickTop="1">
      <c r="A16" s="1"/>
      <c r="H16" s="41"/>
    </row>
    <row r="17" ht="12.75">
      <c r="A17" s="1"/>
    </row>
    <row r="18" spans="2:10" ht="15.75">
      <c r="B18" s="34" t="str">
        <f>"["&amp;TEXT(VALUE(MID(G15,2,LEN(G15)-2))+1,"#")&amp;"]"</f>
        <v>[15]</v>
      </c>
      <c r="C18" s="34" t="str">
        <f aca="true" t="shared" si="0" ref="C18:J18">"["&amp;TEXT(VALUE(MID(B18,2,LEN(B18)-2))+1,"#")&amp;"]"</f>
        <v>[16]</v>
      </c>
      <c r="D18" s="34" t="str">
        <f t="shared" si="0"/>
        <v>[17]</v>
      </c>
      <c r="E18" s="34" t="str">
        <f t="shared" si="0"/>
        <v>[18]</v>
      </c>
      <c r="F18" s="34" t="str">
        <f t="shared" si="0"/>
        <v>[19]</v>
      </c>
      <c r="G18" s="34" t="str">
        <f t="shared" si="0"/>
        <v>[20]</v>
      </c>
      <c r="H18" s="34" t="str">
        <f t="shared" si="0"/>
        <v>[21]</v>
      </c>
      <c r="I18" s="34" t="str">
        <f t="shared" si="0"/>
        <v>[22]</v>
      </c>
      <c r="J18" s="34" t="str">
        <f t="shared" si="0"/>
        <v>[23]</v>
      </c>
    </row>
    <row r="19" spans="2:10" ht="12.75" customHeight="1">
      <c r="B19" s="34"/>
      <c r="C19" s="34"/>
      <c r="D19" s="34"/>
      <c r="E19" s="34"/>
      <c r="F19" s="34"/>
      <c r="G19" s="34"/>
      <c r="H19" s="34"/>
      <c r="I19" s="34"/>
      <c r="J19" s="34"/>
    </row>
    <row r="20" spans="2:10" ht="12.75">
      <c r="B20" s="31"/>
      <c r="C20" s="31"/>
      <c r="D20" s="31"/>
      <c r="E20" s="31"/>
      <c r="F20" s="31"/>
      <c r="G20" s="31" t="s">
        <v>43</v>
      </c>
      <c r="H20" s="31"/>
      <c r="I20" s="31"/>
      <c r="J20" s="30"/>
    </row>
    <row r="21" spans="2:10" ht="12.75">
      <c r="B21" s="31"/>
      <c r="C21" s="38"/>
      <c r="D21" s="31"/>
      <c r="E21" s="31"/>
      <c r="F21" s="31"/>
      <c r="G21" s="31" t="s">
        <v>28</v>
      </c>
      <c r="H21" s="31"/>
      <c r="I21" s="31"/>
      <c r="J21" s="31"/>
    </row>
    <row r="22" spans="2:10" ht="12.75">
      <c r="B22" s="39" t="s">
        <v>68</v>
      </c>
      <c r="C22" s="39" t="s">
        <v>3</v>
      </c>
      <c r="D22" s="39" t="s">
        <v>4</v>
      </c>
      <c r="E22" s="39" t="s">
        <v>24</v>
      </c>
      <c r="F22" s="39" t="s">
        <v>5</v>
      </c>
      <c r="G22" s="31" t="s">
        <v>29</v>
      </c>
      <c r="H22" s="39" t="s">
        <v>6</v>
      </c>
      <c r="I22" s="39" t="s">
        <v>16</v>
      </c>
      <c r="J22" s="39" t="s">
        <v>17</v>
      </c>
    </row>
    <row r="23" spans="3:10" ht="12.75">
      <c r="C23" s="85" t="s">
        <v>41</v>
      </c>
      <c r="D23" s="42" t="s">
        <v>36</v>
      </c>
      <c r="E23" s="85" t="s">
        <v>41</v>
      </c>
      <c r="F23" s="42" t="str">
        <f>"="&amp;E7&amp;" * "&amp;E18</f>
        <v>=[3] * [18]</v>
      </c>
      <c r="G23" s="42" t="str">
        <f>"="&amp;B11&amp;" + "&amp;B12</f>
        <v>=[5] + [6]</v>
      </c>
      <c r="H23" s="42" t="s">
        <v>42</v>
      </c>
      <c r="I23" s="42" t="str">
        <f>"="&amp;B13&amp;" * (1.00 + "&amp;E8&amp;" )"</f>
        <v>=[7] * (1.00 + [4] )</v>
      </c>
      <c r="J23" s="42" t="str">
        <f>"="&amp;H18&amp;" / "&amp;E5</f>
        <v>=[21] / [1]</v>
      </c>
    </row>
    <row r="24" spans="4:10" ht="12.75">
      <c r="D24" s="42" t="str">
        <f>"of "&amp;C18</f>
        <v>of [16]</v>
      </c>
      <c r="E24" s="82"/>
      <c r="F24" s="82"/>
      <c r="G24" s="82"/>
      <c r="H24" s="42" t="str">
        <f>F18&amp;" - "&amp;G18&amp;" )"</f>
        <v>[19] - [20] )</v>
      </c>
      <c r="I24" s="85" t="str">
        <f>"- "&amp;F18</f>
        <v>- [19]</v>
      </c>
      <c r="J24" s="82"/>
    </row>
    <row r="25" ht="13.5" thickBot="1"/>
    <row r="26" spans="2:10" ht="12.75">
      <c r="B26" s="30">
        <v>1</v>
      </c>
      <c r="C26" s="88">
        <v>0.02</v>
      </c>
      <c r="D26" s="3">
        <f aca="true" t="shared" si="1" ref="D26:D45">C26+D25</f>
        <v>0.02</v>
      </c>
      <c r="E26" s="88">
        <v>0.35</v>
      </c>
      <c r="F26" s="91">
        <f aca="true" t="shared" si="2" ref="F26:F45">E26*$H$7</f>
        <v>350</v>
      </c>
      <c r="G26" s="91">
        <f>(1+H$6)*E$12</f>
        <v>703.29285</v>
      </c>
      <c r="H26" s="91">
        <f aca="true" t="shared" si="3" ref="H26:H45">MAX(F26-G26,0)</f>
        <v>0</v>
      </c>
      <c r="I26" s="91">
        <f>$E$13*(1+$H$8)-F26</f>
        <v>3491.2074925</v>
      </c>
      <c r="J26" s="92">
        <f aca="true" t="shared" si="4" ref="J26:J45">H26/H$5</f>
        <v>0</v>
      </c>
    </row>
    <row r="27" spans="2:10" ht="12.75">
      <c r="B27" s="30">
        <v>2</v>
      </c>
      <c r="C27" s="89">
        <v>0.04</v>
      </c>
      <c r="D27" s="3">
        <f t="shared" si="1"/>
        <v>0.06</v>
      </c>
      <c r="E27" s="89">
        <v>0.4</v>
      </c>
      <c r="F27" s="91">
        <f t="shared" si="2"/>
        <v>400</v>
      </c>
      <c r="G27" s="91">
        <f aca="true" t="shared" si="5" ref="G27:G45">G26</f>
        <v>703.29285</v>
      </c>
      <c r="H27" s="91">
        <f t="shared" si="3"/>
        <v>0</v>
      </c>
      <c r="I27" s="91">
        <f aca="true" t="shared" si="6" ref="I27:I45">$E$13*(1+$H$8)-F27</f>
        <v>3441.2074925</v>
      </c>
      <c r="J27" s="92">
        <f t="shared" si="4"/>
        <v>0</v>
      </c>
    </row>
    <row r="28" spans="2:10" ht="12.75">
      <c r="B28" s="30">
        <v>3</v>
      </c>
      <c r="C28" s="89">
        <v>0.06</v>
      </c>
      <c r="D28" s="3">
        <f t="shared" si="1"/>
        <v>0.12</v>
      </c>
      <c r="E28" s="89">
        <v>0.45</v>
      </c>
      <c r="F28" s="91">
        <f t="shared" si="2"/>
        <v>450</v>
      </c>
      <c r="G28" s="91">
        <f t="shared" si="5"/>
        <v>703.29285</v>
      </c>
      <c r="H28" s="91">
        <f t="shared" si="3"/>
        <v>0</v>
      </c>
      <c r="I28" s="91">
        <f t="shared" si="6"/>
        <v>3391.2074925</v>
      </c>
      <c r="J28" s="92">
        <f t="shared" si="4"/>
        <v>0</v>
      </c>
    </row>
    <row r="29" spans="2:10" ht="12.75">
      <c r="B29" s="30">
        <v>4</v>
      </c>
      <c r="C29" s="89">
        <v>0.1</v>
      </c>
      <c r="D29" s="3">
        <f t="shared" si="1"/>
        <v>0.22</v>
      </c>
      <c r="E29" s="89">
        <v>0.5</v>
      </c>
      <c r="F29" s="91">
        <f t="shared" si="2"/>
        <v>500</v>
      </c>
      <c r="G29" s="91">
        <f t="shared" si="5"/>
        <v>703.29285</v>
      </c>
      <c r="H29" s="91">
        <f t="shared" si="3"/>
        <v>0</v>
      </c>
      <c r="I29" s="91">
        <f t="shared" si="6"/>
        <v>3341.2074925</v>
      </c>
      <c r="J29" s="92">
        <f t="shared" si="4"/>
        <v>0</v>
      </c>
    </row>
    <row r="30" spans="2:10" ht="12.75">
      <c r="B30" s="30">
        <v>5</v>
      </c>
      <c r="C30" s="89">
        <v>0.11</v>
      </c>
      <c r="D30" s="3">
        <f t="shared" si="1"/>
        <v>0.33</v>
      </c>
      <c r="E30" s="89">
        <v>0.55</v>
      </c>
      <c r="F30" s="91">
        <f t="shared" si="2"/>
        <v>550</v>
      </c>
      <c r="G30" s="91">
        <f t="shared" si="5"/>
        <v>703.29285</v>
      </c>
      <c r="H30" s="91">
        <f t="shared" si="3"/>
        <v>0</v>
      </c>
      <c r="I30" s="91">
        <f t="shared" si="6"/>
        <v>3291.2074925</v>
      </c>
      <c r="J30" s="92">
        <f t="shared" si="4"/>
        <v>0</v>
      </c>
    </row>
    <row r="31" spans="2:10" ht="12.75">
      <c r="B31" s="30">
        <v>6</v>
      </c>
      <c r="C31" s="89">
        <v>0.12</v>
      </c>
      <c r="D31" s="3">
        <f t="shared" si="1"/>
        <v>0.45</v>
      </c>
      <c r="E31" s="89">
        <v>0.6</v>
      </c>
      <c r="F31" s="91">
        <f t="shared" si="2"/>
        <v>600</v>
      </c>
      <c r="G31" s="91">
        <f t="shared" si="5"/>
        <v>703.29285</v>
      </c>
      <c r="H31" s="91">
        <f t="shared" si="3"/>
        <v>0</v>
      </c>
      <c r="I31" s="91">
        <f t="shared" si="6"/>
        <v>3241.2074925</v>
      </c>
      <c r="J31" s="92">
        <f t="shared" si="4"/>
        <v>0</v>
      </c>
    </row>
    <row r="32" spans="2:10" ht="12.75">
      <c r="B32" s="30">
        <v>7</v>
      </c>
      <c r="C32" s="89">
        <v>0.1</v>
      </c>
      <c r="D32" s="3">
        <f t="shared" si="1"/>
        <v>0.55</v>
      </c>
      <c r="E32" s="89">
        <v>0.65</v>
      </c>
      <c r="F32" s="91">
        <f t="shared" si="2"/>
        <v>650</v>
      </c>
      <c r="G32" s="91">
        <f t="shared" si="5"/>
        <v>703.29285</v>
      </c>
      <c r="H32" s="91">
        <f t="shared" si="3"/>
        <v>0</v>
      </c>
      <c r="I32" s="91">
        <f t="shared" si="6"/>
        <v>3191.2074925</v>
      </c>
      <c r="J32" s="92">
        <f t="shared" si="4"/>
        <v>0</v>
      </c>
    </row>
    <row r="33" spans="2:10" ht="12.75">
      <c r="B33" s="30">
        <v>8</v>
      </c>
      <c r="C33" s="89">
        <v>0.09</v>
      </c>
      <c r="D33" s="3">
        <f t="shared" si="1"/>
        <v>0.64</v>
      </c>
      <c r="E33" s="89">
        <v>0.7</v>
      </c>
      <c r="F33" s="91">
        <f t="shared" si="2"/>
        <v>700</v>
      </c>
      <c r="G33" s="91">
        <f t="shared" si="5"/>
        <v>703.29285</v>
      </c>
      <c r="H33" s="91">
        <f t="shared" si="3"/>
        <v>0</v>
      </c>
      <c r="I33" s="91">
        <f t="shared" si="6"/>
        <v>3141.2074925</v>
      </c>
      <c r="J33" s="92">
        <f t="shared" si="4"/>
        <v>0</v>
      </c>
    </row>
    <row r="34" spans="2:10" ht="12.75">
      <c r="B34" s="30">
        <v>9</v>
      </c>
      <c r="C34" s="89">
        <v>0.06</v>
      </c>
      <c r="D34" s="3">
        <f t="shared" si="1"/>
        <v>0.7</v>
      </c>
      <c r="E34" s="89">
        <v>0.75</v>
      </c>
      <c r="F34" s="91">
        <f t="shared" si="2"/>
        <v>750</v>
      </c>
      <c r="G34" s="91">
        <f t="shared" si="5"/>
        <v>703.29285</v>
      </c>
      <c r="H34" s="91">
        <f t="shared" si="3"/>
        <v>46.707149999999956</v>
      </c>
      <c r="I34" s="91">
        <f t="shared" si="6"/>
        <v>3091.2074925</v>
      </c>
      <c r="J34" s="92">
        <f t="shared" si="4"/>
        <v>0.01580614213197968</v>
      </c>
    </row>
    <row r="35" spans="2:10" ht="12.75">
      <c r="B35" s="30">
        <v>10</v>
      </c>
      <c r="C35" s="89">
        <v>0.05</v>
      </c>
      <c r="D35" s="3">
        <f t="shared" si="1"/>
        <v>0.75</v>
      </c>
      <c r="E35" s="89">
        <v>0.8</v>
      </c>
      <c r="F35" s="91">
        <f t="shared" si="2"/>
        <v>800</v>
      </c>
      <c r="G35" s="91">
        <f t="shared" si="5"/>
        <v>703.29285</v>
      </c>
      <c r="H35" s="91">
        <f t="shared" si="3"/>
        <v>96.70714999999996</v>
      </c>
      <c r="I35" s="91">
        <f t="shared" si="6"/>
        <v>3041.2074925</v>
      </c>
      <c r="J35" s="92">
        <f t="shared" si="4"/>
        <v>0.03272661590524533</v>
      </c>
    </row>
    <row r="36" spans="2:10" ht="12.75">
      <c r="B36" s="30">
        <v>11</v>
      </c>
      <c r="C36" s="89">
        <v>0.04</v>
      </c>
      <c r="D36" s="3">
        <f t="shared" si="1"/>
        <v>0.79</v>
      </c>
      <c r="E36" s="104">
        <v>0.825</v>
      </c>
      <c r="F36" s="91">
        <f t="shared" si="2"/>
        <v>825</v>
      </c>
      <c r="G36" s="91">
        <f t="shared" si="5"/>
        <v>703.29285</v>
      </c>
      <c r="H36" s="91">
        <f t="shared" si="3"/>
        <v>121.70714999999996</v>
      </c>
      <c r="I36" s="91">
        <f t="shared" si="6"/>
        <v>3016.2074925</v>
      </c>
      <c r="J36" s="92">
        <f t="shared" si="4"/>
        <v>0.041186852791878156</v>
      </c>
    </row>
    <row r="37" spans="2:10" ht="12.75">
      <c r="B37" s="30">
        <v>12</v>
      </c>
      <c r="C37" s="89">
        <v>0.04</v>
      </c>
      <c r="D37" s="3">
        <f t="shared" si="1"/>
        <v>0.8300000000000001</v>
      </c>
      <c r="E37" s="104">
        <v>0.85</v>
      </c>
      <c r="F37" s="91">
        <f t="shared" si="2"/>
        <v>850</v>
      </c>
      <c r="G37" s="91">
        <f t="shared" si="5"/>
        <v>703.29285</v>
      </c>
      <c r="H37" s="91">
        <f t="shared" si="3"/>
        <v>146.70714999999996</v>
      </c>
      <c r="I37" s="91">
        <f t="shared" si="6"/>
        <v>2991.2074925</v>
      </c>
      <c r="J37" s="92">
        <f t="shared" si="4"/>
        <v>0.04964708967851098</v>
      </c>
    </row>
    <row r="38" spans="2:10" ht="12.75">
      <c r="B38" s="30">
        <v>13</v>
      </c>
      <c r="C38" s="89">
        <v>0.03</v>
      </c>
      <c r="D38" s="3">
        <f t="shared" si="1"/>
        <v>0.8600000000000001</v>
      </c>
      <c r="E38" s="104">
        <v>0.875</v>
      </c>
      <c r="F38" s="91">
        <f t="shared" si="2"/>
        <v>875</v>
      </c>
      <c r="G38" s="91">
        <f t="shared" si="5"/>
        <v>703.29285</v>
      </c>
      <c r="H38" s="91">
        <f t="shared" si="3"/>
        <v>171.70714999999996</v>
      </c>
      <c r="I38" s="91">
        <f t="shared" si="6"/>
        <v>2966.2074925</v>
      </c>
      <c r="J38" s="92">
        <f t="shared" si="4"/>
        <v>0.05810732656514381</v>
      </c>
    </row>
    <row r="39" spans="2:10" ht="12.75">
      <c r="B39" s="30">
        <v>14</v>
      </c>
      <c r="C39" s="89">
        <v>0.03</v>
      </c>
      <c r="D39" s="3">
        <f t="shared" si="1"/>
        <v>0.8900000000000001</v>
      </c>
      <c r="E39" s="104">
        <v>0.9</v>
      </c>
      <c r="F39" s="91">
        <f t="shared" si="2"/>
        <v>900</v>
      </c>
      <c r="G39" s="91">
        <f t="shared" si="5"/>
        <v>703.29285</v>
      </c>
      <c r="H39" s="91">
        <f t="shared" si="3"/>
        <v>196.70714999999996</v>
      </c>
      <c r="I39" s="91">
        <f t="shared" si="6"/>
        <v>2941.2074925</v>
      </c>
      <c r="J39" s="92">
        <f t="shared" si="4"/>
        <v>0.06656756345177664</v>
      </c>
    </row>
    <row r="40" spans="2:10" ht="12.75">
      <c r="B40" s="30">
        <v>15</v>
      </c>
      <c r="C40" s="89">
        <v>0.03</v>
      </c>
      <c r="D40" s="3">
        <f t="shared" si="1"/>
        <v>0.9200000000000002</v>
      </c>
      <c r="E40" s="104">
        <v>0.925</v>
      </c>
      <c r="F40" s="91">
        <f t="shared" si="2"/>
        <v>925</v>
      </c>
      <c r="G40" s="91">
        <f t="shared" si="5"/>
        <v>703.29285</v>
      </c>
      <c r="H40" s="91">
        <f t="shared" si="3"/>
        <v>221.70714999999996</v>
      </c>
      <c r="I40" s="91">
        <f t="shared" si="6"/>
        <v>2916.2074925</v>
      </c>
      <c r="J40" s="92">
        <f t="shared" si="4"/>
        <v>0.07502780033840946</v>
      </c>
    </row>
    <row r="41" spans="2:10" ht="12.75">
      <c r="B41" s="30">
        <v>16</v>
      </c>
      <c r="C41" s="89">
        <v>0.02</v>
      </c>
      <c r="D41" s="3">
        <f t="shared" si="1"/>
        <v>0.9400000000000002</v>
      </c>
      <c r="E41" s="104">
        <v>0.95</v>
      </c>
      <c r="F41" s="91">
        <f t="shared" si="2"/>
        <v>950</v>
      </c>
      <c r="G41" s="91">
        <f t="shared" si="5"/>
        <v>703.29285</v>
      </c>
      <c r="H41" s="91">
        <f t="shared" si="3"/>
        <v>246.70714999999996</v>
      </c>
      <c r="I41" s="91">
        <f t="shared" si="6"/>
        <v>2891.2074925</v>
      </c>
      <c r="J41" s="92">
        <f t="shared" si="4"/>
        <v>0.08348803722504229</v>
      </c>
    </row>
    <row r="42" spans="2:10" ht="12.75">
      <c r="B42" s="30">
        <v>17</v>
      </c>
      <c r="C42" s="89">
        <v>0.02</v>
      </c>
      <c r="D42" s="3">
        <f t="shared" si="1"/>
        <v>0.9600000000000002</v>
      </c>
      <c r="E42" s="104">
        <v>0.975</v>
      </c>
      <c r="F42" s="91">
        <f t="shared" si="2"/>
        <v>975</v>
      </c>
      <c r="G42" s="91">
        <f t="shared" si="5"/>
        <v>703.29285</v>
      </c>
      <c r="H42" s="91">
        <f t="shared" si="3"/>
        <v>271.70714999999996</v>
      </c>
      <c r="I42" s="91">
        <f t="shared" si="6"/>
        <v>2866.2074925</v>
      </c>
      <c r="J42" s="92">
        <f t="shared" si="4"/>
        <v>0.09194827411167511</v>
      </c>
    </row>
    <row r="43" spans="2:10" ht="12.75">
      <c r="B43" s="30">
        <v>18</v>
      </c>
      <c r="C43" s="89">
        <v>0.02</v>
      </c>
      <c r="D43" s="3">
        <f t="shared" si="1"/>
        <v>0.9800000000000002</v>
      </c>
      <c r="E43" s="104">
        <v>1</v>
      </c>
      <c r="F43" s="91">
        <f t="shared" si="2"/>
        <v>1000</v>
      </c>
      <c r="G43" s="91">
        <f t="shared" si="5"/>
        <v>703.29285</v>
      </c>
      <c r="H43" s="91">
        <f t="shared" si="3"/>
        <v>296.70714999999996</v>
      </c>
      <c r="I43" s="91">
        <f t="shared" si="6"/>
        <v>2841.2074925</v>
      </c>
      <c r="J43" s="92">
        <f t="shared" si="4"/>
        <v>0.10040851099830794</v>
      </c>
    </row>
    <row r="44" spans="2:10" ht="12.75">
      <c r="B44" s="30">
        <v>19</v>
      </c>
      <c r="C44" s="89">
        <v>0.01</v>
      </c>
      <c r="D44" s="3">
        <f t="shared" si="1"/>
        <v>0.9900000000000002</v>
      </c>
      <c r="E44" s="104">
        <v>1.025</v>
      </c>
      <c r="F44" s="91">
        <f t="shared" si="2"/>
        <v>1025</v>
      </c>
      <c r="G44" s="91">
        <f t="shared" si="5"/>
        <v>703.29285</v>
      </c>
      <c r="H44" s="91">
        <f t="shared" si="3"/>
        <v>321.70714999999996</v>
      </c>
      <c r="I44" s="91">
        <f t="shared" si="6"/>
        <v>2816.2074925</v>
      </c>
      <c r="J44" s="92">
        <f t="shared" si="4"/>
        <v>0.10886874788494076</v>
      </c>
    </row>
    <row r="45" spans="2:10" ht="13.5" thickBot="1">
      <c r="B45" s="37">
        <v>20</v>
      </c>
      <c r="C45" s="90">
        <v>0.01</v>
      </c>
      <c r="D45" s="3">
        <f t="shared" si="1"/>
        <v>1.0000000000000002</v>
      </c>
      <c r="E45" s="105">
        <v>1.05</v>
      </c>
      <c r="F45" s="91">
        <f t="shared" si="2"/>
        <v>1050</v>
      </c>
      <c r="G45" s="91">
        <f t="shared" si="5"/>
        <v>703.29285</v>
      </c>
      <c r="H45" s="91">
        <f t="shared" si="3"/>
        <v>346.70714999999996</v>
      </c>
      <c r="I45" s="91">
        <f t="shared" si="6"/>
        <v>2791.2074925</v>
      </c>
      <c r="J45" s="92">
        <f t="shared" si="4"/>
        <v>0.1173289847715736</v>
      </c>
    </row>
    <row r="46" spans="1:9" ht="12.75">
      <c r="A46" s="37"/>
      <c r="B46" s="2"/>
      <c r="C46" s="3"/>
      <c r="D46" s="2"/>
      <c r="E46" s="4"/>
      <c r="F46" s="15"/>
      <c r="G46" s="4"/>
      <c r="H46" s="4"/>
      <c r="I46" s="7"/>
    </row>
    <row r="47" spans="1:12" ht="26.25">
      <c r="A47" s="43" t="str">
        <f>A1</f>
        <v>Exhibit 6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26.25">
      <c r="A48" s="45" t="str">
        <f>A2</f>
        <v>CASE 6 -- Less Skewed Loss Distribution, In Yield and Loss Rate Balance</v>
      </c>
      <c r="B48" s="44"/>
      <c r="C48" s="44"/>
      <c r="D48" s="44"/>
      <c r="E48" s="44"/>
      <c r="F48" s="45"/>
      <c r="G48" s="44"/>
      <c r="H48" s="44"/>
      <c r="I48" s="44"/>
      <c r="J48" s="44"/>
      <c r="K48" s="44"/>
      <c r="L48" s="44"/>
    </row>
    <row r="49" spans="6:9" ht="13.5" thickBot="1">
      <c r="F49" s="5"/>
      <c r="I49" s="9"/>
    </row>
    <row r="50" spans="2:10" ht="20.25" thickBot="1" thickTop="1">
      <c r="B50" s="20"/>
      <c r="C50" s="21"/>
      <c r="D50" s="67"/>
      <c r="E50" s="67"/>
      <c r="F50" s="29" t="s">
        <v>23</v>
      </c>
      <c r="G50" s="67"/>
      <c r="H50" s="67"/>
      <c r="I50" s="67"/>
      <c r="J50" s="68"/>
    </row>
    <row r="51" spans="2:10" ht="13.5" thickBot="1">
      <c r="B51" s="69"/>
      <c r="C51" s="127" t="s">
        <v>67</v>
      </c>
      <c r="D51" s="128">
        <v>1</v>
      </c>
      <c r="E51" s="128">
        <v>2</v>
      </c>
      <c r="F51" s="128">
        <v>3</v>
      </c>
      <c r="G51" s="128">
        <v>4</v>
      </c>
      <c r="H51" s="128">
        <v>5</v>
      </c>
      <c r="I51" s="128">
        <v>6</v>
      </c>
      <c r="J51" s="129">
        <v>7</v>
      </c>
    </row>
    <row r="52" spans="2:11" ht="16.5" thickTop="1">
      <c r="B52" s="70" t="str">
        <f>"["&amp;TEXT(VALUE(MID(J18,2,LEN(J18)-2))+1,"#")&amp;"]"</f>
        <v>[24]</v>
      </c>
      <c r="C52" s="71" t="s">
        <v>0</v>
      </c>
      <c r="D52" s="11">
        <v>0.25</v>
      </c>
      <c r="E52" s="12">
        <v>0.25</v>
      </c>
      <c r="F52" s="12">
        <v>0.25</v>
      </c>
      <c r="G52" s="12">
        <v>0.25</v>
      </c>
      <c r="H52" s="12">
        <v>1</v>
      </c>
      <c r="I52" s="12">
        <v>2</v>
      </c>
      <c r="J52" s="75">
        <v>999.99</v>
      </c>
      <c r="K52" s="83" t="s">
        <v>41</v>
      </c>
    </row>
    <row r="53" spans="2:11" ht="16.5" thickBot="1">
      <c r="B53" s="65" t="str">
        <f>"["&amp;TEXT(VALUE(MID(B52,2,LEN(B52)-2))+1,"#")&amp;"]"</f>
        <v>[25]</v>
      </c>
      <c r="C53" s="72" t="s">
        <v>1</v>
      </c>
      <c r="D53" s="76">
        <v>0</v>
      </c>
      <c r="E53" s="73">
        <v>0.25</v>
      </c>
      <c r="F53" s="73">
        <v>0.5</v>
      </c>
      <c r="G53" s="73">
        <v>0.75</v>
      </c>
      <c r="H53" s="73">
        <v>1</v>
      </c>
      <c r="I53" s="73">
        <v>2</v>
      </c>
      <c r="J53" s="74">
        <v>4</v>
      </c>
      <c r="K53" s="86" t="s">
        <v>41</v>
      </c>
    </row>
    <row r="54" ht="13.5" thickTop="1"/>
    <row r="55" spans="2:10" s="103" customFormat="1" ht="15.75">
      <c r="B55" s="34" t="str">
        <f>B18</f>
        <v>[15]</v>
      </c>
      <c r="D55" s="34" t="str">
        <f>"["&amp;TEXT(VALUE(MID(B53,2,LEN(B53)-2))+1,"#")&amp;"]"</f>
        <v>[26]</v>
      </c>
      <c r="E55" s="34" t="str">
        <f aca="true" t="shared" si="7" ref="E55:J55">"["&amp;TEXT(VALUE(MID(D55,2,LEN(D55)-2))+1,"#")&amp;"]"</f>
        <v>[27]</v>
      </c>
      <c r="F55" s="34" t="str">
        <f t="shared" si="7"/>
        <v>[28]</v>
      </c>
      <c r="G55" s="34" t="str">
        <f t="shared" si="7"/>
        <v>[29]</v>
      </c>
      <c r="H55" s="34" t="str">
        <f t="shared" si="7"/>
        <v>[30]</v>
      </c>
      <c r="I55" s="34" t="str">
        <f t="shared" si="7"/>
        <v>[31]</v>
      </c>
      <c r="J55" s="34" t="str">
        <f t="shared" si="7"/>
        <v>[32]</v>
      </c>
    </row>
    <row r="56" ht="13.5" thickBot="1"/>
    <row r="57" spans="4:11" ht="13.5" thickTop="1">
      <c r="D57" s="10" t="s">
        <v>9</v>
      </c>
      <c r="E57" s="10" t="s">
        <v>10</v>
      </c>
      <c r="F57" s="10" t="s">
        <v>11</v>
      </c>
      <c r="G57" s="10" t="s">
        <v>12</v>
      </c>
      <c r="H57" s="10" t="s">
        <v>13</v>
      </c>
      <c r="I57" s="10" t="s">
        <v>14</v>
      </c>
      <c r="J57" s="10" t="s">
        <v>15</v>
      </c>
      <c r="K57" s="83" t="s">
        <v>44</v>
      </c>
    </row>
    <row r="58" spans="2:11" ht="12.75">
      <c r="B58" s="39" t="s">
        <v>68</v>
      </c>
      <c r="D58" s="10" t="s">
        <v>6</v>
      </c>
      <c r="E58" s="10" t="s">
        <v>6</v>
      </c>
      <c r="F58" s="10" t="s">
        <v>6</v>
      </c>
      <c r="G58" s="10" t="s">
        <v>6</v>
      </c>
      <c r="H58" s="10" t="s">
        <v>6</v>
      </c>
      <c r="I58" s="10" t="s">
        <v>6</v>
      </c>
      <c r="J58" s="10" t="s">
        <v>6</v>
      </c>
      <c r="K58" s="84" t="str">
        <f>"MAX( 0, MIN( "&amp;H18&amp;" -"</f>
        <v>MAX( 0, MIN( [21] -</v>
      </c>
    </row>
    <row r="59" spans="8:11" ht="13.5" thickBot="1">
      <c r="H59" s="6"/>
      <c r="I59" s="6"/>
      <c r="K59" s="81" t="str">
        <f>B53&amp;" * "&amp;E5&amp;", "&amp;B52&amp;" * "&amp;E5&amp;" ) )"</f>
        <v>[25] * [1], [24] * [1] ) )</v>
      </c>
    </row>
    <row r="60" spans="2:10" ht="13.5" thickTop="1">
      <c r="B60" s="30">
        <v>1</v>
      </c>
      <c r="D60" s="8">
        <f aca="true" t="shared" si="8" ref="D60:J69">MAX(0,MIN($H26-D$53*$H$5,D$52*$H$5))</f>
        <v>0</v>
      </c>
      <c r="E60" s="8">
        <f t="shared" si="8"/>
        <v>0</v>
      </c>
      <c r="F60" s="8">
        <f t="shared" si="8"/>
        <v>0</v>
      </c>
      <c r="G60" s="8">
        <f t="shared" si="8"/>
        <v>0</v>
      </c>
      <c r="H60" s="8">
        <f t="shared" si="8"/>
        <v>0</v>
      </c>
      <c r="I60" s="8">
        <f t="shared" si="8"/>
        <v>0</v>
      </c>
      <c r="J60" s="8">
        <f t="shared" si="8"/>
        <v>0</v>
      </c>
    </row>
    <row r="61" spans="2:10" ht="12.75">
      <c r="B61" s="30">
        <v>2</v>
      </c>
      <c r="D61" s="8">
        <f t="shared" si="8"/>
        <v>0</v>
      </c>
      <c r="E61" s="8">
        <f t="shared" si="8"/>
        <v>0</v>
      </c>
      <c r="F61" s="8">
        <f t="shared" si="8"/>
        <v>0</v>
      </c>
      <c r="G61" s="8">
        <f t="shared" si="8"/>
        <v>0</v>
      </c>
      <c r="H61" s="8">
        <f t="shared" si="8"/>
        <v>0</v>
      </c>
      <c r="I61" s="8">
        <f t="shared" si="8"/>
        <v>0</v>
      </c>
      <c r="J61" s="8">
        <f t="shared" si="8"/>
        <v>0</v>
      </c>
    </row>
    <row r="62" spans="2:11" ht="12.75">
      <c r="B62" s="30">
        <v>3</v>
      </c>
      <c r="D62" s="8">
        <f t="shared" si="8"/>
        <v>0</v>
      </c>
      <c r="E62" s="8">
        <f t="shared" si="8"/>
        <v>0</v>
      </c>
      <c r="F62" s="8">
        <f t="shared" si="8"/>
        <v>0</v>
      </c>
      <c r="G62" s="8">
        <f t="shared" si="8"/>
        <v>0</v>
      </c>
      <c r="H62" s="8">
        <f t="shared" si="8"/>
        <v>0</v>
      </c>
      <c r="I62" s="8">
        <f t="shared" si="8"/>
        <v>0</v>
      </c>
      <c r="J62" s="8">
        <f t="shared" si="8"/>
        <v>0</v>
      </c>
      <c r="K62" s="40"/>
    </row>
    <row r="63" spans="2:10" ht="12.75">
      <c r="B63" s="30">
        <v>4</v>
      </c>
      <c r="D63" s="8">
        <f t="shared" si="8"/>
        <v>0</v>
      </c>
      <c r="E63" s="8">
        <f t="shared" si="8"/>
        <v>0</v>
      </c>
      <c r="F63" s="8">
        <f t="shared" si="8"/>
        <v>0</v>
      </c>
      <c r="G63" s="8">
        <f t="shared" si="8"/>
        <v>0</v>
      </c>
      <c r="H63" s="8">
        <f t="shared" si="8"/>
        <v>0</v>
      </c>
      <c r="I63" s="8">
        <f t="shared" si="8"/>
        <v>0</v>
      </c>
      <c r="J63" s="8">
        <f t="shared" si="8"/>
        <v>0</v>
      </c>
    </row>
    <row r="64" spans="2:10" ht="12.75">
      <c r="B64" s="30">
        <v>5</v>
      </c>
      <c r="D64" s="8">
        <f t="shared" si="8"/>
        <v>0</v>
      </c>
      <c r="E64" s="8">
        <f t="shared" si="8"/>
        <v>0</v>
      </c>
      <c r="F64" s="8">
        <f t="shared" si="8"/>
        <v>0</v>
      </c>
      <c r="G64" s="8">
        <f t="shared" si="8"/>
        <v>0</v>
      </c>
      <c r="H64" s="8">
        <f t="shared" si="8"/>
        <v>0</v>
      </c>
      <c r="I64" s="8">
        <f t="shared" si="8"/>
        <v>0</v>
      </c>
      <c r="J64" s="8">
        <f t="shared" si="8"/>
        <v>0</v>
      </c>
    </row>
    <row r="65" spans="2:10" ht="12.75">
      <c r="B65" s="30">
        <v>6</v>
      </c>
      <c r="D65" s="8">
        <f t="shared" si="8"/>
        <v>0</v>
      </c>
      <c r="E65" s="8">
        <f t="shared" si="8"/>
        <v>0</v>
      </c>
      <c r="F65" s="8">
        <f t="shared" si="8"/>
        <v>0</v>
      </c>
      <c r="G65" s="8">
        <f t="shared" si="8"/>
        <v>0</v>
      </c>
      <c r="H65" s="8">
        <f t="shared" si="8"/>
        <v>0</v>
      </c>
      <c r="I65" s="8">
        <f t="shared" si="8"/>
        <v>0</v>
      </c>
      <c r="J65" s="8">
        <f t="shared" si="8"/>
        <v>0</v>
      </c>
    </row>
    <row r="66" spans="2:10" ht="12.75">
      <c r="B66" s="30">
        <v>7</v>
      </c>
      <c r="D66" s="8">
        <f t="shared" si="8"/>
        <v>0</v>
      </c>
      <c r="E66" s="8">
        <f t="shared" si="8"/>
        <v>0</v>
      </c>
      <c r="F66" s="8">
        <f t="shared" si="8"/>
        <v>0</v>
      </c>
      <c r="G66" s="8">
        <f t="shared" si="8"/>
        <v>0</v>
      </c>
      <c r="H66" s="8">
        <f t="shared" si="8"/>
        <v>0</v>
      </c>
      <c r="I66" s="8">
        <f t="shared" si="8"/>
        <v>0</v>
      </c>
      <c r="J66" s="8">
        <f t="shared" si="8"/>
        <v>0</v>
      </c>
    </row>
    <row r="67" spans="2:10" ht="12.75">
      <c r="B67" s="30">
        <v>8</v>
      </c>
      <c r="D67" s="8">
        <f t="shared" si="8"/>
        <v>0</v>
      </c>
      <c r="E67" s="8">
        <f t="shared" si="8"/>
        <v>0</v>
      </c>
      <c r="F67" s="8">
        <f t="shared" si="8"/>
        <v>0</v>
      </c>
      <c r="G67" s="8">
        <f t="shared" si="8"/>
        <v>0</v>
      </c>
      <c r="H67" s="8">
        <f t="shared" si="8"/>
        <v>0</v>
      </c>
      <c r="I67" s="8">
        <f t="shared" si="8"/>
        <v>0</v>
      </c>
      <c r="J67" s="8">
        <f t="shared" si="8"/>
        <v>0</v>
      </c>
    </row>
    <row r="68" spans="2:10" ht="12.75">
      <c r="B68" s="30">
        <v>9</v>
      </c>
      <c r="D68" s="8">
        <f t="shared" si="8"/>
        <v>46.707149999999956</v>
      </c>
      <c r="E68" s="8">
        <f t="shared" si="8"/>
        <v>0</v>
      </c>
      <c r="F68" s="8">
        <f t="shared" si="8"/>
        <v>0</v>
      </c>
      <c r="G68" s="8">
        <f t="shared" si="8"/>
        <v>0</v>
      </c>
      <c r="H68" s="8">
        <f t="shared" si="8"/>
        <v>0</v>
      </c>
      <c r="I68" s="8">
        <f t="shared" si="8"/>
        <v>0</v>
      </c>
      <c r="J68" s="8">
        <f t="shared" si="8"/>
        <v>0</v>
      </c>
    </row>
    <row r="69" spans="2:10" ht="12.75">
      <c r="B69" s="30">
        <v>10</v>
      </c>
      <c r="D69" s="8">
        <f t="shared" si="8"/>
        <v>96.70714999999996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</row>
    <row r="70" spans="2:10" ht="12.75">
      <c r="B70" s="30">
        <v>11</v>
      </c>
      <c r="D70" s="8">
        <f aca="true" t="shared" si="9" ref="D70:J79">MAX(0,MIN($H36-D$53*$H$5,D$52*$H$5))</f>
        <v>121.70714999999996</v>
      </c>
      <c r="E70" s="8">
        <f t="shared" si="9"/>
        <v>0</v>
      </c>
      <c r="F70" s="8">
        <f t="shared" si="9"/>
        <v>0</v>
      </c>
      <c r="G70" s="8">
        <f t="shared" si="9"/>
        <v>0</v>
      </c>
      <c r="H70" s="8">
        <f t="shared" si="9"/>
        <v>0</v>
      </c>
      <c r="I70" s="8">
        <f t="shared" si="9"/>
        <v>0</v>
      </c>
      <c r="J70" s="8">
        <f t="shared" si="9"/>
        <v>0</v>
      </c>
    </row>
    <row r="71" spans="2:10" ht="12.75">
      <c r="B71" s="30">
        <v>12</v>
      </c>
      <c r="D71" s="8">
        <f t="shared" si="9"/>
        <v>146.70714999999996</v>
      </c>
      <c r="E71" s="8">
        <f t="shared" si="9"/>
        <v>0</v>
      </c>
      <c r="F71" s="8">
        <f t="shared" si="9"/>
        <v>0</v>
      </c>
      <c r="G71" s="8">
        <f t="shared" si="9"/>
        <v>0</v>
      </c>
      <c r="H71" s="8">
        <f t="shared" si="9"/>
        <v>0</v>
      </c>
      <c r="I71" s="8">
        <f t="shared" si="9"/>
        <v>0</v>
      </c>
      <c r="J71" s="8">
        <f t="shared" si="9"/>
        <v>0</v>
      </c>
    </row>
    <row r="72" spans="2:10" ht="12.75">
      <c r="B72" s="30">
        <v>13</v>
      </c>
      <c r="D72" s="8">
        <f t="shared" si="9"/>
        <v>171.70714999999996</v>
      </c>
      <c r="E72" s="8">
        <f t="shared" si="9"/>
        <v>0</v>
      </c>
      <c r="F72" s="8">
        <f t="shared" si="9"/>
        <v>0</v>
      </c>
      <c r="G72" s="8">
        <f t="shared" si="9"/>
        <v>0</v>
      </c>
      <c r="H72" s="8">
        <f t="shared" si="9"/>
        <v>0</v>
      </c>
      <c r="I72" s="8">
        <f t="shared" si="9"/>
        <v>0</v>
      </c>
      <c r="J72" s="8">
        <f t="shared" si="9"/>
        <v>0</v>
      </c>
    </row>
    <row r="73" spans="2:10" ht="12.75">
      <c r="B73" s="30">
        <v>14</v>
      </c>
      <c r="D73" s="8">
        <f t="shared" si="9"/>
        <v>196.70714999999996</v>
      </c>
      <c r="E73" s="8">
        <f t="shared" si="9"/>
        <v>0</v>
      </c>
      <c r="F73" s="8">
        <f t="shared" si="9"/>
        <v>0</v>
      </c>
      <c r="G73" s="8">
        <f t="shared" si="9"/>
        <v>0</v>
      </c>
      <c r="H73" s="8">
        <f t="shared" si="9"/>
        <v>0</v>
      </c>
      <c r="I73" s="8">
        <f t="shared" si="9"/>
        <v>0</v>
      </c>
      <c r="J73" s="8">
        <f t="shared" si="9"/>
        <v>0</v>
      </c>
    </row>
    <row r="74" spans="2:10" ht="12.75">
      <c r="B74" s="30">
        <v>15</v>
      </c>
      <c r="D74" s="8">
        <f t="shared" si="9"/>
        <v>221.70714999999996</v>
      </c>
      <c r="E74" s="8">
        <f t="shared" si="9"/>
        <v>0</v>
      </c>
      <c r="F74" s="8">
        <f t="shared" si="9"/>
        <v>0</v>
      </c>
      <c r="G74" s="8">
        <f t="shared" si="9"/>
        <v>0</v>
      </c>
      <c r="H74" s="8">
        <f t="shared" si="9"/>
        <v>0</v>
      </c>
      <c r="I74" s="8">
        <f t="shared" si="9"/>
        <v>0</v>
      </c>
      <c r="J74" s="8">
        <f t="shared" si="9"/>
        <v>0</v>
      </c>
    </row>
    <row r="75" spans="2:10" ht="12.75">
      <c r="B75" s="30">
        <v>16</v>
      </c>
      <c r="D75" s="8">
        <f t="shared" si="9"/>
        <v>246.70714999999996</v>
      </c>
      <c r="E75" s="8">
        <f t="shared" si="9"/>
        <v>0</v>
      </c>
      <c r="F75" s="8">
        <f t="shared" si="9"/>
        <v>0</v>
      </c>
      <c r="G75" s="8">
        <f t="shared" si="9"/>
        <v>0</v>
      </c>
      <c r="H75" s="8">
        <f t="shared" si="9"/>
        <v>0</v>
      </c>
      <c r="I75" s="8">
        <f t="shared" si="9"/>
        <v>0</v>
      </c>
      <c r="J75" s="8">
        <f t="shared" si="9"/>
        <v>0</v>
      </c>
    </row>
    <row r="76" spans="2:10" ht="12.75">
      <c r="B76" s="30">
        <v>17</v>
      </c>
      <c r="D76" s="8">
        <f t="shared" si="9"/>
        <v>271.70714999999996</v>
      </c>
      <c r="E76" s="8">
        <f t="shared" si="9"/>
        <v>0</v>
      </c>
      <c r="F76" s="8">
        <f t="shared" si="9"/>
        <v>0</v>
      </c>
      <c r="G76" s="8">
        <f t="shared" si="9"/>
        <v>0</v>
      </c>
      <c r="H76" s="8">
        <f t="shared" si="9"/>
        <v>0</v>
      </c>
      <c r="I76" s="8">
        <f t="shared" si="9"/>
        <v>0</v>
      </c>
      <c r="J76" s="8">
        <f t="shared" si="9"/>
        <v>0</v>
      </c>
    </row>
    <row r="77" spans="2:10" ht="12.75">
      <c r="B77" s="30">
        <v>18</v>
      </c>
      <c r="D77" s="8">
        <f t="shared" si="9"/>
        <v>296.70714999999996</v>
      </c>
      <c r="E77" s="8">
        <f t="shared" si="9"/>
        <v>0</v>
      </c>
      <c r="F77" s="8">
        <f t="shared" si="9"/>
        <v>0</v>
      </c>
      <c r="G77" s="8">
        <f t="shared" si="9"/>
        <v>0</v>
      </c>
      <c r="H77" s="8">
        <f t="shared" si="9"/>
        <v>0</v>
      </c>
      <c r="I77" s="8">
        <f t="shared" si="9"/>
        <v>0</v>
      </c>
      <c r="J77" s="8">
        <f t="shared" si="9"/>
        <v>0</v>
      </c>
    </row>
    <row r="78" spans="2:10" ht="12.75">
      <c r="B78" s="30">
        <v>19</v>
      </c>
      <c r="D78" s="8">
        <f t="shared" si="9"/>
        <v>321.70714999999996</v>
      </c>
      <c r="E78" s="8">
        <f t="shared" si="9"/>
        <v>0</v>
      </c>
      <c r="F78" s="8">
        <f t="shared" si="9"/>
        <v>0</v>
      </c>
      <c r="G78" s="8">
        <f t="shared" si="9"/>
        <v>0</v>
      </c>
      <c r="H78" s="8">
        <f t="shared" si="9"/>
        <v>0</v>
      </c>
      <c r="I78" s="8">
        <f t="shared" si="9"/>
        <v>0</v>
      </c>
      <c r="J78" s="8">
        <f t="shared" si="9"/>
        <v>0</v>
      </c>
    </row>
    <row r="79" spans="2:10" ht="12.75">
      <c r="B79" s="37">
        <v>20</v>
      </c>
      <c r="D79" s="8">
        <f t="shared" si="9"/>
        <v>346.70714999999996</v>
      </c>
      <c r="E79" s="8">
        <f t="shared" si="9"/>
        <v>0</v>
      </c>
      <c r="F79" s="8">
        <f t="shared" si="9"/>
        <v>0</v>
      </c>
      <c r="G79" s="8">
        <f t="shared" si="9"/>
        <v>0</v>
      </c>
      <c r="H79" s="8">
        <f t="shared" si="9"/>
        <v>0</v>
      </c>
      <c r="I79" s="8">
        <f t="shared" si="9"/>
        <v>0</v>
      </c>
      <c r="J79" s="8">
        <f t="shared" si="9"/>
        <v>0</v>
      </c>
    </row>
    <row r="80" spans="4:10" ht="12.75">
      <c r="D80" s="8"/>
      <c r="E80" s="8"/>
      <c r="F80" s="8"/>
      <c r="G80" s="8"/>
      <c r="H80" s="8"/>
      <c r="I80" s="8"/>
      <c r="J80" s="8"/>
    </row>
    <row r="81" ht="13.5" thickBot="1"/>
    <row r="82" spans="1:11" ht="16.5" thickTop="1">
      <c r="A82" s="77" t="str">
        <f>"["&amp;TEXT(VALUE(MID(J55,2,LEN(J55)-2))+1,"#")&amp;"]"</f>
        <v>[33]</v>
      </c>
      <c r="B82" s="60" t="s">
        <v>40</v>
      </c>
      <c r="C82" s="21"/>
      <c r="D82" s="93">
        <f aca="true" t="shared" si="10" ref="D82:J82">SUMPRODUCT($C26:$C45,D60:D79)</f>
        <v>59.06457399999998</v>
      </c>
      <c r="E82" s="93">
        <f t="shared" si="10"/>
        <v>0</v>
      </c>
      <c r="F82" s="93">
        <f t="shared" si="10"/>
        <v>0</v>
      </c>
      <c r="G82" s="93">
        <f t="shared" si="10"/>
        <v>0</v>
      </c>
      <c r="H82" s="93">
        <f t="shared" si="10"/>
        <v>0</v>
      </c>
      <c r="I82" s="93">
        <f t="shared" si="10"/>
        <v>0</v>
      </c>
      <c r="J82" s="94">
        <f t="shared" si="10"/>
        <v>0</v>
      </c>
      <c r="K82" s="49" t="s">
        <v>66</v>
      </c>
    </row>
    <row r="83" spans="1:11" ht="16.5" thickBot="1">
      <c r="A83" s="61" t="str">
        <f>"["&amp;TEXT(VALUE(MID(A82,2,LEN(A82)-2))+1,"#")&amp;"]"</f>
        <v>[34]</v>
      </c>
      <c r="B83" s="62" t="s">
        <v>25</v>
      </c>
      <c r="C83" s="22"/>
      <c r="D83" s="95">
        <f aca="true" t="shared" si="11" ref="D83:J83">D$82/$H$5/D$52</f>
        <v>0.07995204602368863</v>
      </c>
      <c r="E83" s="95">
        <f t="shared" si="11"/>
        <v>0</v>
      </c>
      <c r="F83" s="95">
        <f t="shared" si="11"/>
        <v>0</v>
      </c>
      <c r="G83" s="95">
        <f t="shared" si="11"/>
        <v>0</v>
      </c>
      <c r="H83" s="95">
        <f t="shared" si="11"/>
        <v>0</v>
      </c>
      <c r="I83" s="95">
        <f t="shared" si="11"/>
        <v>0</v>
      </c>
      <c r="J83" s="96">
        <f t="shared" si="11"/>
        <v>0</v>
      </c>
      <c r="K83" s="50" t="str">
        <f>"="&amp;A82&amp;" / "&amp;E5&amp;" / "&amp;B52</f>
        <v>=[33] / [1] / [24]</v>
      </c>
    </row>
    <row r="84" spans="1:11" ht="15.75">
      <c r="A84" s="61" t="str">
        <f>"["&amp;TEXT(VALUE(MID(A83,2,LEN(A83)-2))+1,"#")&amp;"]"</f>
        <v>[35]</v>
      </c>
      <c r="B84" s="63" t="s">
        <v>26</v>
      </c>
      <c r="C84" s="22"/>
      <c r="D84" s="18">
        <v>0.1</v>
      </c>
      <c r="E84" s="19">
        <v>0.25</v>
      </c>
      <c r="F84" s="19">
        <v>0.5</v>
      </c>
      <c r="G84" s="19">
        <v>0.75</v>
      </c>
      <c r="H84" s="19">
        <v>1</v>
      </c>
      <c r="I84" s="19">
        <v>2</v>
      </c>
      <c r="J84" s="78">
        <v>4</v>
      </c>
      <c r="K84" s="80" t="s">
        <v>41</v>
      </c>
    </row>
    <row r="85" spans="1:11" ht="16.5" thickBot="1">
      <c r="A85" s="61" t="str">
        <f>"["&amp;TEXT(VALUE(MID(A84,2,LEN(A84)-2))+1,"#")&amp;"]"</f>
        <v>[36]</v>
      </c>
      <c r="B85" s="63" t="s">
        <v>27</v>
      </c>
      <c r="C85" s="22"/>
      <c r="D85" s="16">
        <v>0.001</v>
      </c>
      <c r="E85" s="17">
        <v>0.001</v>
      </c>
      <c r="F85" s="17">
        <v>0.001</v>
      </c>
      <c r="G85" s="17">
        <v>0.001</v>
      </c>
      <c r="H85" s="17">
        <v>0.001</v>
      </c>
      <c r="I85" s="17">
        <v>0.001</v>
      </c>
      <c r="J85" s="79">
        <v>0.001</v>
      </c>
      <c r="K85" s="80" t="s">
        <v>41</v>
      </c>
    </row>
    <row r="86" spans="1:11" ht="15.75">
      <c r="A86" s="61" t="str">
        <f>"["&amp;TEXT(VALUE(MID(A85,2,LEN(A85)-2))+1,"#")&amp;"]"</f>
        <v>[37]</v>
      </c>
      <c r="B86" s="64" t="s">
        <v>34</v>
      </c>
      <c r="C86" s="22"/>
      <c r="D86" s="95">
        <f>IF(D83&gt;0,D85+(1+D84)*D83,0)</f>
        <v>0.0889472506260575</v>
      </c>
      <c r="E86" s="95">
        <f aca="true" t="shared" si="12" ref="E86:J86">IF(E83&gt;0,E85+(1+E84)*E83,0)</f>
        <v>0</v>
      </c>
      <c r="F86" s="95">
        <f t="shared" si="12"/>
        <v>0</v>
      </c>
      <c r="G86" s="95">
        <f t="shared" si="12"/>
        <v>0</v>
      </c>
      <c r="H86" s="95">
        <f t="shared" si="12"/>
        <v>0</v>
      </c>
      <c r="I86" s="95">
        <f t="shared" si="12"/>
        <v>0</v>
      </c>
      <c r="J86" s="96">
        <f t="shared" si="12"/>
        <v>0</v>
      </c>
      <c r="K86" s="50" t="str">
        <f>"="&amp;A83&amp;" *(1+"&amp;A84&amp;" ) + "&amp;A85</f>
        <v>=[34] *(1+[35] ) + [36]</v>
      </c>
    </row>
    <row r="87" spans="1:11" ht="16.5" thickBot="1">
      <c r="A87" s="65" t="str">
        <f>"["&amp;TEXT(VALUE(MID(A86,2,LEN(A86)-2))+1,"#")&amp;"]"</f>
        <v>[38]</v>
      </c>
      <c r="B87" s="66" t="s">
        <v>7</v>
      </c>
      <c r="C87" s="25"/>
      <c r="D87" s="97">
        <f aca="true" t="shared" si="13" ref="D87:J87">D86*D52*$H5</f>
        <v>65.70978139999998</v>
      </c>
      <c r="E87" s="97">
        <f t="shared" si="13"/>
        <v>0</v>
      </c>
      <c r="F87" s="97">
        <f t="shared" si="13"/>
        <v>0</v>
      </c>
      <c r="G87" s="97">
        <f t="shared" si="13"/>
        <v>0</v>
      </c>
      <c r="H87" s="97">
        <f t="shared" si="13"/>
        <v>0</v>
      </c>
      <c r="I87" s="97">
        <f t="shared" si="13"/>
        <v>0</v>
      </c>
      <c r="J87" s="98">
        <f t="shared" si="13"/>
        <v>0</v>
      </c>
      <c r="K87" s="81" t="str">
        <f>"="&amp;A86&amp;" * "&amp;E5&amp;" * "&amp;B52</f>
        <v>=[37] * [1] * [24]</v>
      </c>
    </row>
    <row r="88" ht="16.5" thickTop="1">
      <c r="A88" s="33"/>
    </row>
  </sheetData>
  <printOptions horizontalCentered="1" verticalCentered="1"/>
  <pageMargins left="0.75" right="0.75" top="0.49" bottom="0.5" header="0.5" footer="0.5"/>
  <pageSetup fitToHeight="2" fitToWidth="1" horizontalDpi="300" verticalDpi="300" orientation="landscape" scale="79" r:id="rId1"/>
  <headerFooter alignWithMargins="0">
    <oddHeader>&amp;R&amp;"Arial,Bold Italic"&amp;14Page &amp;P of &amp;N</oddHeader>
  </headerFooter>
  <rowBreaks count="1" manualBreakCount="1">
    <brk id="46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111">
    <pageSetUpPr fitToPage="1"/>
  </sheetPr>
  <dimension ref="A1:L88"/>
  <sheetViews>
    <sheetView zoomScale="90" zoomScaleNormal="90" workbookViewId="0" topLeftCell="A1">
      <selection activeCell="A2" sqref="A2"/>
    </sheetView>
  </sheetViews>
  <sheetFormatPr defaultColWidth="9.140625" defaultRowHeight="12.75"/>
  <cols>
    <col min="1" max="1" width="13.140625" style="0" customWidth="1"/>
    <col min="2" max="2" width="13.421875" style="0" customWidth="1"/>
    <col min="3" max="4" width="13.00390625" style="0" customWidth="1"/>
    <col min="5" max="5" width="13.28125" style="0" customWidth="1"/>
    <col min="6" max="6" width="15.7109375" style="0" customWidth="1"/>
    <col min="7" max="7" width="13.8515625" style="0" customWidth="1"/>
    <col min="8" max="8" width="12.140625" style="0" customWidth="1"/>
    <col min="9" max="9" width="15.421875" style="0" customWidth="1"/>
    <col min="10" max="10" width="17.421875" style="0" customWidth="1"/>
    <col min="11" max="11" width="19.8515625" style="0" customWidth="1"/>
    <col min="12" max="12" width="14.140625" style="0" customWidth="1"/>
    <col min="13" max="16" width="11.421875" style="0" customWidth="1"/>
    <col min="17" max="17" width="11.7109375" style="0" customWidth="1"/>
  </cols>
  <sheetData>
    <row r="1" spans="1:12" ht="26.25">
      <c r="A1" s="43" t="s">
        <v>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6.25">
      <c r="A2" s="45" t="s">
        <v>50</v>
      </c>
      <c r="B2" s="44"/>
      <c r="C2" s="44"/>
      <c r="D2" s="44"/>
      <c r="E2" s="44"/>
      <c r="F2" s="45"/>
      <c r="G2" s="44"/>
      <c r="H2" s="44"/>
      <c r="I2" s="44"/>
      <c r="J2" s="44"/>
      <c r="K2" s="44"/>
      <c r="L2" s="44"/>
    </row>
    <row r="3" ht="13.5" thickBot="1">
      <c r="A3" s="1"/>
    </row>
    <row r="4" spans="1:11" ht="20.25" thickBot="1" thickTop="1">
      <c r="A4" s="1"/>
      <c r="E4" s="52"/>
      <c r="F4" s="55"/>
      <c r="G4" s="55" t="s">
        <v>32</v>
      </c>
      <c r="H4" s="54"/>
      <c r="I4" s="59"/>
      <c r="J4" s="119" t="s">
        <v>51</v>
      </c>
      <c r="K4" s="22"/>
    </row>
    <row r="5" spans="1:12" ht="17.25" thickBot="1" thickTop="1">
      <c r="A5" s="1"/>
      <c r="E5" s="106" t="s">
        <v>31</v>
      </c>
      <c r="F5" s="111" t="s">
        <v>75</v>
      </c>
      <c r="G5" s="115"/>
      <c r="H5" s="116">
        <f>Case1!H5</f>
        <v>3600</v>
      </c>
      <c r="I5" s="83" t="s">
        <v>41</v>
      </c>
      <c r="J5" s="120">
        <f>H5-Case1!H5</f>
        <v>0</v>
      </c>
      <c r="L5" s="40"/>
    </row>
    <row r="6" spans="1:10" ht="16.5" thickBot="1">
      <c r="A6" s="1"/>
      <c r="E6" s="106" t="str">
        <f>"["&amp;TEXT(VALUE(MID(E5,2,LEN(E5)-2))+1,"#")&amp;"]"</f>
        <v>[2]</v>
      </c>
      <c r="F6" s="110" t="s">
        <v>18</v>
      </c>
      <c r="G6" s="115"/>
      <c r="H6" s="118">
        <v>0.0818</v>
      </c>
      <c r="I6" s="87" t="s">
        <v>41</v>
      </c>
      <c r="J6" s="121">
        <f>(E11-Case1!E11)/(Case7!E12-Case1!E12)</f>
        <v>0.16172125984251962</v>
      </c>
    </row>
    <row r="7" spans="1:9" ht="16.5" thickBot="1">
      <c r="A7" s="1"/>
      <c r="E7" s="35" t="str">
        <f>"["&amp;TEXT(VALUE(MID(E6,2,LEN(E6)-2))+1,"#")&amp;"]"</f>
        <v>[3]</v>
      </c>
      <c r="F7" s="22" t="s">
        <v>21</v>
      </c>
      <c r="G7" s="124"/>
      <c r="H7" s="125">
        <v>1200</v>
      </c>
      <c r="I7" s="87" t="s">
        <v>41</v>
      </c>
    </row>
    <row r="8" spans="1:9" ht="16.5" thickBot="1">
      <c r="A8" s="1"/>
      <c r="E8" s="36" t="str">
        <f>"["&amp;TEXT(VALUE(MID(E7,2,LEN(E7)-2))+1,"#")&amp;"]"</f>
        <v>[4]</v>
      </c>
      <c r="F8" s="25" t="s">
        <v>64</v>
      </c>
      <c r="G8" s="26"/>
      <c r="H8" s="126">
        <v>0.05</v>
      </c>
      <c r="I8" s="86" t="s">
        <v>41</v>
      </c>
    </row>
    <row r="9" spans="1:11" ht="17.25" thickBot="1" thickTop="1">
      <c r="A9" s="1"/>
      <c r="C9" s="41"/>
      <c r="D9" s="22"/>
      <c r="E9" s="13"/>
      <c r="F9" s="13"/>
      <c r="H9" s="41"/>
      <c r="I9" s="28"/>
      <c r="J9" s="22"/>
      <c r="K9" s="32"/>
    </row>
    <row r="10" spans="1:11" ht="20.25" thickBot="1" thickTop="1">
      <c r="A10" s="1"/>
      <c r="B10" s="52"/>
      <c r="C10" s="53"/>
      <c r="D10" s="54"/>
      <c r="E10" s="21"/>
      <c r="F10" s="55"/>
      <c r="G10" s="55" t="s">
        <v>33</v>
      </c>
      <c r="H10" s="53"/>
      <c r="I10" s="56"/>
      <c r="J10" s="54"/>
      <c r="K10" s="57"/>
    </row>
    <row r="11" spans="1:11" ht="16.5" thickTop="1">
      <c r="A11" s="1"/>
      <c r="B11" s="46" t="str">
        <f>"["&amp;TEXT(VALUE(MID(E8,2,LEN(E8)-2))+1,"#")&amp;"]"</f>
        <v>[5]</v>
      </c>
      <c r="C11" s="47" t="s">
        <v>19</v>
      </c>
      <c r="D11" s="48"/>
      <c r="E11" s="99">
        <f>H6*E12</f>
        <v>71.80404000000001</v>
      </c>
      <c r="F11" s="49" t="str">
        <f>"="&amp;E6&amp;" * "&amp;B12</f>
        <v>=[2] * [6]</v>
      </c>
      <c r="G11" s="46" t="str">
        <f>"["&amp;TEXT(VALUE(MID(B15,2,LEN(B15)-2))+1,"#")&amp;"]"</f>
        <v>[10]</v>
      </c>
      <c r="H11" s="21" t="s">
        <v>39</v>
      </c>
      <c r="I11" s="21"/>
      <c r="J11" s="93">
        <f>SUMPRODUCT($C26:$C45,I26:I45)</f>
        <v>3899.2842420000015</v>
      </c>
      <c r="K11" s="49" t="str">
        <f>"=E{ "&amp;I18&amp;" }"</f>
        <v>=E{ [22] }</v>
      </c>
    </row>
    <row r="12" spans="1:11" ht="15.75">
      <c r="A12" s="1"/>
      <c r="B12" s="35" t="str">
        <f>"["&amp;TEXT(VALUE(MID(B11,2,LEN(B11)-2))+1,"#")&amp;"]"</f>
        <v>[6]</v>
      </c>
      <c r="C12" s="28" t="s">
        <v>37</v>
      </c>
      <c r="D12" s="22"/>
      <c r="E12" s="14">
        <f>SUMPRODUCT($C26:$C45,F26:F45)</f>
        <v>877.8000000000002</v>
      </c>
      <c r="F12" s="50" t="str">
        <f>"=E{ "&amp;F18&amp;" }"</f>
        <v>=E{ [19] }</v>
      </c>
      <c r="G12" s="106" t="str">
        <f>"["&amp;TEXT(VALUE(MID(G11,2,LEN(G11)-2))+1,"#")&amp;"]"</f>
        <v>[11]</v>
      </c>
      <c r="H12" s="110" t="s">
        <v>20</v>
      </c>
      <c r="I12" s="111"/>
      <c r="J12" s="107">
        <f>J11/H5-1</f>
        <v>0.08313451166666708</v>
      </c>
      <c r="K12" s="112" t="str">
        <f>"="&amp;G11&amp;" / "&amp;E5&amp;" - 1.00"</f>
        <v>=[10] / [1] - 1.00</v>
      </c>
    </row>
    <row r="13" spans="1:11" ht="15.75">
      <c r="A13" s="1"/>
      <c r="B13" s="35" t="str">
        <f>"["&amp;TEXT(VALUE(MID(B12,2,LEN(B12)-2))+1,"#")&amp;"]"</f>
        <v>[7]</v>
      </c>
      <c r="C13" s="28" t="s">
        <v>22</v>
      </c>
      <c r="D13" s="22"/>
      <c r="E13" s="100">
        <f>E11+H5+E12</f>
        <v>4549.60404</v>
      </c>
      <c r="F13" s="50" t="str">
        <f>"="&amp;E5&amp;" +"&amp;B11&amp;" +"&amp;B12</f>
        <v>=[1] +[5] +[6]</v>
      </c>
      <c r="G13" s="35" t="str">
        <f>"["&amp;TEXT(VALUE(MID(G12,2,LEN(G12)-2))+1,"#")&amp;"]"</f>
        <v>[12]</v>
      </c>
      <c r="H13" s="27" t="s">
        <v>35</v>
      </c>
      <c r="I13" s="22"/>
      <c r="J13" s="102">
        <f>SUM(D87:J87)</f>
        <v>119.14185467999992</v>
      </c>
      <c r="K13" s="50" t="str">
        <f>"=Sum{ "&amp;A87&amp;" }"</f>
        <v>=Sum{ [38] }</v>
      </c>
    </row>
    <row r="14" spans="1:11" ht="15.75">
      <c r="A14" s="1"/>
      <c r="B14" s="35" t="str">
        <f>"["&amp;TEXT(VALUE(MID(B13,2,LEN(B13)-2))+1,"#")&amp;"]"</f>
        <v>[8]</v>
      </c>
      <c r="C14" s="28" t="s">
        <v>38</v>
      </c>
      <c r="D14" s="22"/>
      <c r="E14" s="14">
        <f>SUMPRODUCT($C26:$C45,H26:H45)</f>
        <v>106.31878799999991</v>
      </c>
      <c r="F14" s="50" t="str">
        <f>"=E{ "&amp;H18&amp;" }"</f>
        <v>=E{ [21] }</v>
      </c>
      <c r="G14" s="106" t="str">
        <f>"["&amp;TEXT(VALUE(MID(G13,2,LEN(G13)-2))+1,"#")&amp;"]"</f>
        <v>[13]</v>
      </c>
      <c r="H14" s="111" t="s">
        <v>8</v>
      </c>
      <c r="I14" s="111"/>
      <c r="J14" s="107">
        <f>J13/H5+H8</f>
        <v>0.08309495963333331</v>
      </c>
      <c r="K14" s="112" t="str">
        <f>"="&amp;G13&amp;" / "&amp;E5&amp;" + "&amp;E8</f>
        <v>=[12] / [1] + [4]</v>
      </c>
    </row>
    <row r="15" spans="1:11" ht="16.5" thickBot="1">
      <c r="A15" s="1"/>
      <c r="B15" s="108" t="str">
        <f>"["&amp;TEXT(VALUE(MID(B14,2,LEN(B14)-2))+1,"#")&amp;"]"</f>
        <v>[9]</v>
      </c>
      <c r="C15" s="113" t="s">
        <v>65</v>
      </c>
      <c r="D15" s="113"/>
      <c r="E15" s="109">
        <f>E14/H5</f>
        <v>0.02953299666666664</v>
      </c>
      <c r="F15" s="114" t="str">
        <f>"="&amp;B14&amp;" / "&amp;E5</f>
        <v>=[8] / [1]</v>
      </c>
      <c r="G15" s="108" t="str">
        <f>"["&amp;TEXT(VALUE(MID(G14,2,LEN(G14)-2))+1,"#")&amp;"]"</f>
        <v>[14]</v>
      </c>
      <c r="H15" s="113" t="s">
        <v>52</v>
      </c>
      <c r="I15" s="113"/>
      <c r="J15" s="109">
        <f>J14-E15-H8</f>
        <v>0.0035619629666666652</v>
      </c>
      <c r="K15" s="114" t="str">
        <f>"="&amp;G14&amp;" - "&amp;B15&amp;" - "&amp;E8</f>
        <v>=[13] - [9] - [4]</v>
      </c>
    </row>
    <row r="16" spans="1:8" ht="16.5" thickTop="1">
      <c r="A16" s="1"/>
      <c r="H16" s="41"/>
    </row>
    <row r="17" ht="12.75">
      <c r="A17" s="1"/>
    </row>
    <row r="18" spans="2:10" ht="15.75">
      <c r="B18" s="34" t="str">
        <f>"["&amp;TEXT(VALUE(MID(G15,2,LEN(G15)-2))+1,"#")&amp;"]"</f>
        <v>[15]</v>
      </c>
      <c r="C18" s="34" t="str">
        <f aca="true" t="shared" si="0" ref="C18:J18">"["&amp;TEXT(VALUE(MID(B18,2,LEN(B18)-2))+1,"#")&amp;"]"</f>
        <v>[16]</v>
      </c>
      <c r="D18" s="34" t="str">
        <f t="shared" si="0"/>
        <v>[17]</v>
      </c>
      <c r="E18" s="34" t="str">
        <f t="shared" si="0"/>
        <v>[18]</v>
      </c>
      <c r="F18" s="34" t="str">
        <f t="shared" si="0"/>
        <v>[19]</v>
      </c>
      <c r="G18" s="34" t="str">
        <f t="shared" si="0"/>
        <v>[20]</v>
      </c>
      <c r="H18" s="34" t="str">
        <f t="shared" si="0"/>
        <v>[21]</v>
      </c>
      <c r="I18" s="34" t="str">
        <f t="shared" si="0"/>
        <v>[22]</v>
      </c>
      <c r="J18" s="34" t="str">
        <f t="shared" si="0"/>
        <v>[23]</v>
      </c>
    </row>
    <row r="19" spans="2:10" ht="12.75" customHeight="1">
      <c r="B19" s="34"/>
      <c r="C19" s="34"/>
      <c r="D19" s="34"/>
      <c r="E19" s="34"/>
      <c r="F19" s="34"/>
      <c r="G19" s="34"/>
      <c r="H19" s="34"/>
      <c r="I19" s="34"/>
      <c r="J19" s="34"/>
    </row>
    <row r="20" spans="2:10" ht="12.75">
      <c r="B20" s="31"/>
      <c r="C20" s="31"/>
      <c r="D20" s="31"/>
      <c r="E20" s="31"/>
      <c r="F20" s="31"/>
      <c r="G20" s="31" t="s">
        <v>43</v>
      </c>
      <c r="H20" s="31"/>
      <c r="I20" s="31"/>
      <c r="J20" s="30"/>
    </row>
    <row r="21" spans="2:10" ht="12.75">
      <c r="B21" s="31"/>
      <c r="C21" s="38"/>
      <c r="D21" s="31"/>
      <c r="E21" s="31"/>
      <c r="F21" s="31"/>
      <c r="G21" s="31" t="s">
        <v>28</v>
      </c>
      <c r="H21" s="31"/>
      <c r="I21" s="31"/>
      <c r="J21" s="31"/>
    </row>
    <row r="22" spans="2:10" ht="12.75">
      <c r="B22" s="39" t="s">
        <v>68</v>
      </c>
      <c r="C22" s="39" t="s">
        <v>3</v>
      </c>
      <c r="D22" s="39" t="s">
        <v>4</v>
      </c>
      <c r="E22" s="39" t="s">
        <v>24</v>
      </c>
      <c r="F22" s="39" t="s">
        <v>5</v>
      </c>
      <c r="G22" s="31" t="s">
        <v>29</v>
      </c>
      <c r="H22" s="39" t="s">
        <v>6</v>
      </c>
      <c r="I22" s="39" t="s">
        <v>16</v>
      </c>
      <c r="J22" s="39" t="s">
        <v>17</v>
      </c>
    </row>
    <row r="23" spans="3:10" ht="12.75">
      <c r="C23" s="85" t="s">
        <v>41</v>
      </c>
      <c r="D23" s="42" t="s">
        <v>36</v>
      </c>
      <c r="E23" s="85" t="s">
        <v>41</v>
      </c>
      <c r="F23" s="42" t="str">
        <f>"="&amp;E7&amp;" * "&amp;E18</f>
        <v>=[3] * [18]</v>
      </c>
      <c r="G23" s="42" t="str">
        <f>"="&amp;B11&amp;" + "&amp;B12</f>
        <v>=[5] + [6]</v>
      </c>
      <c r="H23" s="42" t="s">
        <v>42</v>
      </c>
      <c r="I23" s="42" t="str">
        <f>"="&amp;B13&amp;" * (1.00 + "&amp;E8&amp;" )"</f>
        <v>=[7] * (1.00 + [4] )</v>
      </c>
      <c r="J23" s="42" t="str">
        <f>"="&amp;H18&amp;" / "&amp;E5</f>
        <v>=[21] / [1]</v>
      </c>
    </row>
    <row r="24" spans="4:10" ht="12.75">
      <c r="D24" s="42" t="str">
        <f>"of "&amp;C18</f>
        <v>of [16]</v>
      </c>
      <c r="E24" s="82"/>
      <c r="F24" s="82"/>
      <c r="G24" s="82"/>
      <c r="H24" s="42" t="str">
        <f>F18&amp;" - "&amp;G18&amp;" )"</f>
        <v>[19] - [20] )</v>
      </c>
      <c r="I24" s="85" t="str">
        <f>"- "&amp;F18</f>
        <v>- [19]</v>
      </c>
      <c r="J24" s="82"/>
    </row>
    <row r="25" ht="13.5" thickBot="1"/>
    <row r="26" spans="2:10" ht="12.75">
      <c r="B26" s="30">
        <v>1</v>
      </c>
      <c r="C26" s="88">
        <f>Case3!C26</f>
        <v>0.02</v>
      </c>
      <c r="D26" s="3">
        <f aca="true" t="shared" si="1" ref="D26:D45">C26+D25</f>
        <v>0.02</v>
      </c>
      <c r="E26" s="88">
        <f>Case3!E26</f>
        <v>0.35</v>
      </c>
      <c r="F26" s="91">
        <f aca="true" t="shared" si="2" ref="F26:F45">E26*$H$7</f>
        <v>420</v>
      </c>
      <c r="G26" s="91">
        <f>(1+H$6)*E$12</f>
        <v>949.6040400000003</v>
      </c>
      <c r="H26" s="91">
        <f aca="true" t="shared" si="3" ref="H26:H45">MAX(F26-G26,0)</f>
        <v>0</v>
      </c>
      <c r="I26" s="91">
        <f>$E$13*(1+$H$8)-F26</f>
        <v>4357.084242000001</v>
      </c>
      <c r="J26" s="92">
        <f aca="true" t="shared" si="4" ref="J26:J45">H26/H$5</f>
        <v>0</v>
      </c>
    </row>
    <row r="27" spans="2:10" ht="12.75">
      <c r="B27" s="30">
        <v>2</v>
      </c>
      <c r="C27" s="89">
        <f>Case3!C27</f>
        <v>0.04</v>
      </c>
      <c r="D27" s="3">
        <f t="shared" si="1"/>
        <v>0.06</v>
      </c>
      <c r="E27" s="89">
        <f>Case3!E27</f>
        <v>0.4</v>
      </c>
      <c r="F27" s="91">
        <f t="shared" si="2"/>
        <v>480</v>
      </c>
      <c r="G27" s="91">
        <f aca="true" t="shared" si="5" ref="G27:G45">G26</f>
        <v>949.6040400000003</v>
      </c>
      <c r="H27" s="91">
        <f t="shared" si="3"/>
        <v>0</v>
      </c>
      <c r="I27" s="91">
        <f aca="true" t="shared" si="6" ref="I27:I45">$E$13*(1+$H$8)-F27</f>
        <v>4297.084242000001</v>
      </c>
      <c r="J27" s="92">
        <f t="shared" si="4"/>
        <v>0</v>
      </c>
    </row>
    <row r="28" spans="2:10" ht="12.75">
      <c r="B28" s="30">
        <v>3</v>
      </c>
      <c r="C28" s="89">
        <f>Case3!C28</f>
        <v>0.06</v>
      </c>
      <c r="D28" s="3">
        <f t="shared" si="1"/>
        <v>0.12</v>
      </c>
      <c r="E28" s="89">
        <f>Case3!E28</f>
        <v>0.45</v>
      </c>
      <c r="F28" s="91">
        <f t="shared" si="2"/>
        <v>540</v>
      </c>
      <c r="G28" s="91">
        <f t="shared" si="5"/>
        <v>949.6040400000003</v>
      </c>
      <c r="H28" s="91">
        <f t="shared" si="3"/>
        <v>0</v>
      </c>
      <c r="I28" s="91">
        <f t="shared" si="6"/>
        <v>4237.084242000001</v>
      </c>
      <c r="J28" s="92">
        <f t="shared" si="4"/>
        <v>0</v>
      </c>
    </row>
    <row r="29" spans="2:10" ht="12.75">
      <c r="B29" s="30">
        <v>4</v>
      </c>
      <c r="C29" s="89">
        <f>Case3!C29</f>
        <v>0.1</v>
      </c>
      <c r="D29" s="3">
        <f t="shared" si="1"/>
        <v>0.22</v>
      </c>
      <c r="E29" s="89">
        <f>Case3!E29</f>
        <v>0.5</v>
      </c>
      <c r="F29" s="91">
        <f t="shared" si="2"/>
        <v>600</v>
      </c>
      <c r="G29" s="91">
        <f t="shared" si="5"/>
        <v>949.6040400000003</v>
      </c>
      <c r="H29" s="91">
        <f t="shared" si="3"/>
        <v>0</v>
      </c>
      <c r="I29" s="91">
        <f t="shared" si="6"/>
        <v>4177.084242000001</v>
      </c>
      <c r="J29" s="92">
        <f t="shared" si="4"/>
        <v>0</v>
      </c>
    </row>
    <row r="30" spans="2:10" ht="12.75">
      <c r="B30" s="30">
        <v>5</v>
      </c>
      <c r="C30" s="89">
        <f>Case3!C30</f>
        <v>0.11</v>
      </c>
      <c r="D30" s="3">
        <f t="shared" si="1"/>
        <v>0.33</v>
      </c>
      <c r="E30" s="89">
        <f>Case3!E30</f>
        <v>0.55</v>
      </c>
      <c r="F30" s="91">
        <f t="shared" si="2"/>
        <v>660</v>
      </c>
      <c r="G30" s="91">
        <f t="shared" si="5"/>
        <v>949.6040400000003</v>
      </c>
      <c r="H30" s="91">
        <f t="shared" si="3"/>
        <v>0</v>
      </c>
      <c r="I30" s="91">
        <f t="shared" si="6"/>
        <v>4117.084242000001</v>
      </c>
      <c r="J30" s="92">
        <f t="shared" si="4"/>
        <v>0</v>
      </c>
    </row>
    <row r="31" spans="2:10" ht="12.75">
      <c r="B31" s="30">
        <v>6</v>
      </c>
      <c r="C31" s="89">
        <f>Case3!C31</f>
        <v>0.12</v>
      </c>
      <c r="D31" s="3">
        <f t="shared" si="1"/>
        <v>0.45</v>
      </c>
      <c r="E31" s="89">
        <f>Case3!E31</f>
        <v>0.6</v>
      </c>
      <c r="F31" s="91">
        <f t="shared" si="2"/>
        <v>720</v>
      </c>
      <c r="G31" s="91">
        <f t="shared" si="5"/>
        <v>949.6040400000003</v>
      </c>
      <c r="H31" s="91">
        <f t="shared" si="3"/>
        <v>0</v>
      </c>
      <c r="I31" s="91">
        <f t="shared" si="6"/>
        <v>4057.084242000001</v>
      </c>
      <c r="J31" s="92">
        <f t="shared" si="4"/>
        <v>0</v>
      </c>
    </row>
    <row r="32" spans="2:10" ht="12.75">
      <c r="B32" s="30">
        <v>7</v>
      </c>
      <c r="C32" s="89">
        <f>Case3!C32</f>
        <v>0.1</v>
      </c>
      <c r="D32" s="3">
        <f t="shared" si="1"/>
        <v>0.55</v>
      </c>
      <c r="E32" s="89">
        <f>Case3!E32</f>
        <v>0.65</v>
      </c>
      <c r="F32" s="91">
        <f t="shared" si="2"/>
        <v>780</v>
      </c>
      <c r="G32" s="91">
        <f t="shared" si="5"/>
        <v>949.6040400000003</v>
      </c>
      <c r="H32" s="91">
        <f t="shared" si="3"/>
        <v>0</v>
      </c>
      <c r="I32" s="91">
        <f t="shared" si="6"/>
        <v>3997.084242000001</v>
      </c>
      <c r="J32" s="92">
        <f t="shared" si="4"/>
        <v>0</v>
      </c>
    </row>
    <row r="33" spans="2:10" ht="12.75">
      <c r="B33" s="30">
        <v>8</v>
      </c>
      <c r="C33" s="89">
        <f>Case3!C33</f>
        <v>0.09</v>
      </c>
      <c r="D33" s="3">
        <f t="shared" si="1"/>
        <v>0.64</v>
      </c>
      <c r="E33" s="89">
        <f>Case3!E33</f>
        <v>0.7</v>
      </c>
      <c r="F33" s="91">
        <f t="shared" si="2"/>
        <v>840</v>
      </c>
      <c r="G33" s="91">
        <f t="shared" si="5"/>
        <v>949.6040400000003</v>
      </c>
      <c r="H33" s="91">
        <f t="shared" si="3"/>
        <v>0</v>
      </c>
      <c r="I33" s="91">
        <f t="shared" si="6"/>
        <v>3937.084242000001</v>
      </c>
      <c r="J33" s="92">
        <f t="shared" si="4"/>
        <v>0</v>
      </c>
    </row>
    <row r="34" spans="2:10" ht="12.75">
      <c r="B34" s="30">
        <v>9</v>
      </c>
      <c r="C34" s="89">
        <f>Case3!C34</f>
        <v>0.06</v>
      </c>
      <c r="D34" s="3">
        <f t="shared" si="1"/>
        <v>0.7</v>
      </c>
      <c r="E34" s="89">
        <f>Case3!E34</f>
        <v>0.75</v>
      </c>
      <c r="F34" s="91">
        <f t="shared" si="2"/>
        <v>900</v>
      </c>
      <c r="G34" s="91">
        <f t="shared" si="5"/>
        <v>949.6040400000003</v>
      </c>
      <c r="H34" s="91">
        <f t="shared" si="3"/>
        <v>0</v>
      </c>
      <c r="I34" s="91">
        <f t="shared" si="6"/>
        <v>3877.084242000001</v>
      </c>
      <c r="J34" s="92">
        <f t="shared" si="4"/>
        <v>0</v>
      </c>
    </row>
    <row r="35" spans="2:10" ht="12.75">
      <c r="B35" s="30">
        <v>10</v>
      </c>
      <c r="C35" s="89">
        <f>Case3!C35</f>
        <v>0.05</v>
      </c>
      <c r="D35" s="3">
        <f t="shared" si="1"/>
        <v>0.75</v>
      </c>
      <c r="E35" s="89">
        <f>Case3!E35</f>
        <v>0.8</v>
      </c>
      <c r="F35" s="91">
        <f t="shared" si="2"/>
        <v>960</v>
      </c>
      <c r="G35" s="91">
        <f t="shared" si="5"/>
        <v>949.6040400000003</v>
      </c>
      <c r="H35" s="91">
        <f t="shared" si="3"/>
        <v>10.395959999999718</v>
      </c>
      <c r="I35" s="91">
        <f t="shared" si="6"/>
        <v>3817.084242000001</v>
      </c>
      <c r="J35" s="92">
        <f t="shared" si="4"/>
        <v>0.002887766666666588</v>
      </c>
    </row>
    <row r="36" spans="2:10" ht="12.75">
      <c r="B36" s="30">
        <v>11</v>
      </c>
      <c r="C36" s="89">
        <f>Case3!C36</f>
        <v>0.04</v>
      </c>
      <c r="D36" s="3">
        <f t="shared" si="1"/>
        <v>0.79</v>
      </c>
      <c r="E36" s="89">
        <f>Case3!E36</f>
        <v>0.85</v>
      </c>
      <c r="F36" s="91">
        <f t="shared" si="2"/>
        <v>1020</v>
      </c>
      <c r="G36" s="91">
        <f t="shared" si="5"/>
        <v>949.6040400000003</v>
      </c>
      <c r="H36" s="91">
        <f t="shared" si="3"/>
        <v>70.39595999999972</v>
      </c>
      <c r="I36" s="91">
        <f t="shared" si="6"/>
        <v>3757.084242000001</v>
      </c>
      <c r="J36" s="92">
        <f t="shared" si="4"/>
        <v>0.019554433333333256</v>
      </c>
    </row>
    <row r="37" spans="2:10" ht="12.75">
      <c r="B37" s="30">
        <v>12</v>
      </c>
      <c r="C37" s="89">
        <f>Case3!C37</f>
        <v>0.04</v>
      </c>
      <c r="D37" s="3">
        <f t="shared" si="1"/>
        <v>0.8300000000000001</v>
      </c>
      <c r="E37" s="89">
        <f>Case3!E37</f>
        <v>0.9</v>
      </c>
      <c r="F37" s="91">
        <f t="shared" si="2"/>
        <v>1080</v>
      </c>
      <c r="G37" s="91">
        <f t="shared" si="5"/>
        <v>949.6040400000003</v>
      </c>
      <c r="H37" s="91">
        <f t="shared" si="3"/>
        <v>130.39595999999972</v>
      </c>
      <c r="I37" s="91">
        <f t="shared" si="6"/>
        <v>3697.084242000001</v>
      </c>
      <c r="J37" s="92">
        <f t="shared" si="4"/>
        <v>0.03622109999999992</v>
      </c>
    </row>
    <row r="38" spans="2:10" ht="12.75">
      <c r="B38" s="30">
        <v>13</v>
      </c>
      <c r="C38" s="89">
        <f>Case3!C38</f>
        <v>0.03</v>
      </c>
      <c r="D38" s="3">
        <f t="shared" si="1"/>
        <v>0.8600000000000001</v>
      </c>
      <c r="E38" s="89">
        <f>Case3!E38</f>
        <v>1</v>
      </c>
      <c r="F38" s="91">
        <f t="shared" si="2"/>
        <v>1200</v>
      </c>
      <c r="G38" s="91">
        <f t="shared" si="5"/>
        <v>949.6040400000003</v>
      </c>
      <c r="H38" s="91">
        <f t="shared" si="3"/>
        <v>250.39595999999972</v>
      </c>
      <c r="I38" s="91">
        <f t="shared" si="6"/>
        <v>3577.084242000001</v>
      </c>
      <c r="J38" s="92">
        <f t="shared" si="4"/>
        <v>0.06955443333333325</v>
      </c>
    </row>
    <row r="39" spans="2:10" ht="12.75">
      <c r="B39" s="30">
        <v>14</v>
      </c>
      <c r="C39" s="89">
        <f>Case3!C39</f>
        <v>0.03</v>
      </c>
      <c r="D39" s="3">
        <f t="shared" si="1"/>
        <v>0.8900000000000001</v>
      </c>
      <c r="E39" s="89">
        <f>Case3!E39</f>
        <v>1.1</v>
      </c>
      <c r="F39" s="91">
        <f t="shared" si="2"/>
        <v>1320</v>
      </c>
      <c r="G39" s="91">
        <f t="shared" si="5"/>
        <v>949.6040400000003</v>
      </c>
      <c r="H39" s="91">
        <f t="shared" si="3"/>
        <v>370.3959599999997</v>
      </c>
      <c r="I39" s="91">
        <f t="shared" si="6"/>
        <v>3457.084242000001</v>
      </c>
      <c r="J39" s="92">
        <f t="shared" si="4"/>
        <v>0.10288776666666659</v>
      </c>
    </row>
    <row r="40" spans="2:10" ht="12.75">
      <c r="B40" s="30">
        <v>15</v>
      </c>
      <c r="C40" s="89">
        <f>Case3!C40</f>
        <v>0.03</v>
      </c>
      <c r="D40" s="3">
        <f t="shared" si="1"/>
        <v>0.9200000000000002</v>
      </c>
      <c r="E40" s="89">
        <f>Case3!E40</f>
        <v>1.2</v>
      </c>
      <c r="F40" s="91">
        <f t="shared" si="2"/>
        <v>1440</v>
      </c>
      <c r="G40" s="91">
        <f t="shared" si="5"/>
        <v>949.6040400000003</v>
      </c>
      <c r="H40" s="91">
        <f t="shared" si="3"/>
        <v>490.3959599999997</v>
      </c>
      <c r="I40" s="91">
        <f t="shared" si="6"/>
        <v>3337.084242000001</v>
      </c>
      <c r="J40" s="92">
        <f t="shared" si="4"/>
        <v>0.13622109999999993</v>
      </c>
    </row>
    <row r="41" spans="2:10" ht="12.75">
      <c r="B41" s="30">
        <v>16</v>
      </c>
      <c r="C41" s="89">
        <f>Case3!C41</f>
        <v>0.02</v>
      </c>
      <c r="D41" s="3">
        <f t="shared" si="1"/>
        <v>0.9400000000000002</v>
      </c>
      <c r="E41" s="89">
        <f>Case3!E41</f>
        <v>1.3</v>
      </c>
      <c r="F41" s="91">
        <f t="shared" si="2"/>
        <v>1560</v>
      </c>
      <c r="G41" s="91">
        <f t="shared" si="5"/>
        <v>949.6040400000003</v>
      </c>
      <c r="H41" s="91">
        <f t="shared" si="3"/>
        <v>610.3959599999997</v>
      </c>
      <c r="I41" s="91">
        <f t="shared" si="6"/>
        <v>3217.084242000001</v>
      </c>
      <c r="J41" s="92">
        <f t="shared" si="4"/>
        <v>0.16955443333333325</v>
      </c>
    </row>
    <row r="42" spans="2:10" ht="12.75">
      <c r="B42" s="30">
        <v>17</v>
      </c>
      <c r="C42" s="89">
        <f>Case3!C42</f>
        <v>0.02</v>
      </c>
      <c r="D42" s="3">
        <f t="shared" si="1"/>
        <v>0.9600000000000002</v>
      </c>
      <c r="E42" s="89">
        <f>Case3!E42</f>
        <v>1.4</v>
      </c>
      <c r="F42" s="91">
        <f t="shared" si="2"/>
        <v>1680</v>
      </c>
      <c r="G42" s="91">
        <f t="shared" si="5"/>
        <v>949.6040400000003</v>
      </c>
      <c r="H42" s="91">
        <f t="shared" si="3"/>
        <v>730.3959599999997</v>
      </c>
      <c r="I42" s="91">
        <f t="shared" si="6"/>
        <v>3097.084242000001</v>
      </c>
      <c r="J42" s="92">
        <f t="shared" si="4"/>
        <v>0.20288776666666658</v>
      </c>
    </row>
    <row r="43" spans="2:10" ht="12.75">
      <c r="B43" s="30">
        <v>18</v>
      </c>
      <c r="C43" s="89">
        <f>Case3!C43</f>
        <v>0.02</v>
      </c>
      <c r="D43" s="3">
        <f t="shared" si="1"/>
        <v>0.9800000000000002</v>
      </c>
      <c r="E43" s="89">
        <f>Case3!E43</f>
        <v>1.5</v>
      </c>
      <c r="F43" s="91">
        <f t="shared" si="2"/>
        <v>1800</v>
      </c>
      <c r="G43" s="91">
        <f t="shared" si="5"/>
        <v>949.6040400000003</v>
      </c>
      <c r="H43" s="91">
        <f t="shared" si="3"/>
        <v>850.3959599999997</v>
      </c>
      <c r="I43" s="91">
        <f t="shared" si="6"/>
        <v>2977.084242000001</v>
      </c>
      <c r="J43" s="92">
        <f t="shared" si="4"/>
        <v>0.23622109999999993</v>
      </c>
    </row>
    <row r="44" spans="2:10" ht="12.75">
      <c r="B44" s="30">
        <v>19</v>
      </c>
      <c r="C44" s="89">
        <f>Case3!C44</f>
        <v>0.01</v>
      </c>
      <c r="D44" s="3">
        <f t="shared" si="1"/>
        <v>0.9900000000000002</v>
      </c>
      <c r="E44" s="89">
        <f>Case3!E44</f>
        <v>1.6</v>
      </c>
      <c r="F44" s="91">
        <f t="shared" si="2"/>
        <v>1920</v>
      </c>
      <c r="G44" s="91">
        <f t="shared" si="5"/>
        <v>949.6040400000003</v>
      </c>
      <c r="H44" s="91">
        <f t="shared" si="3"/>
        <v>970.3959599999997</v>
      </c>
      <c r="I44" s="91">
        <f t="shared" si="6"/>
        <v>2857.084242000001</v>
      </c>
      <c r="J44" s="92">
        <f t="shared" si="4"/>
        <v>0.26955443333333323</v>
      </c>
    </row>
    <row r="45" spans="2:10" ht="13.5" thickBot="1">
      <c r="B45" s="37">
        <v>20</v>
      </c>
      <c r="C45" s="90">
        <f>Case3!C45</f>
        <v>0.01</v>
      </c>
      <c r="D45" s="3">
        <f t="shared" si="1"/>
        <v>1.0000000000000002</v>
      </c>
      <c r="E45" s="90">
        <f>Case3!E45</f>
        <v>1.7</v>
      </c>
      <c r="F45" s="91">
        <f t="shared" si="2"/>
        <v>2040</v>
      </c>
      <c r="G45" s="91">
        <f t="shared" si="5"/>
        <v>949.6040400000003</v>
      </c>
      <c r="H45" s="91">
        <f t="shared" si="3"/>
        <v>1090.3959599999998</v>
      </c>
      <c r="I45" s="91">
        <f t="shared" si="6"/>
        <v>2737.084242000001</v>
      </c>
      <c r="J45" s="92">
        <f t="shared" si="4"/>
        <v>0.3028877666666666</v>
      </c>
    </row>
    <row r="46" spans="1:9" ht="12.75">
      <c r="A46" s="37"/>
      <c r="B46" s="2"/>
      <c r="C46" s="3"/>
      <c r="D46" s="2"/>
      <c r="E46" s="4"/>
      <c r="F46" s="15"/>
      <c r="G46" s="4"/>
      <c r="H46" s="4"/>
      <c r="I46" s="7"/>
    </row>
    <row r="47" spans="1:12" ht="26.25">
      <c r="A47" s="43" t="str">
        <f>A1</f>
        <v>Exhibit 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26.25">
      <c r="A48" s="45" t="str">
        <f>A2</f>
        <v>CASE 7 -- New Risk Resulting in More Skewed Loss Distribution, Same CS</v>
      </c>
      <c r="B48" s="44"/>
      <c r="C48" s="44"/>
      <c r="D48" s="44"/>
      <c r="E48" s="44"/>
      <c r="F48" s="45"/>
      <c r="G48" s="44"/>
      <c r="H48" s="44"/>
      <c r="I48" s="44"/>
      <c r="J48" s="44"/>
      <c r="K48" s="44"/>
      <c r="L48" s="44"/>
    </row>
    <row r="49" spans="6:9" ht="13.5" thickBot="1">
      <c r="F49" s="5"/>
      <c r="I49" s="9"/>
    </row>
    <row r="50" spans="2:10" ht="20.25" thickBot="1" thickTop="1">
      <c r="B50" s="20"/>
      <c r="C50" s="21"/>
      <c r="D50" s="67"/>
      <c r="E50" s="67"/>
      <c r="F50" s="29" t="s">
        <v>23</v>
      </c>
      <c r="G50" s="67"/>
      <c r="H50" s="67"/>
      <c r="I50" s="67"/>
      <c r="J50" s="68"/>
    </row>
    <row r="51" spans="2:10" ht="13.5" thickBot="1">
      <c r="B51" s="69"/>
      <c r="C51" s="127" t="s">
        <v>67</v>
      </c>
      <c r="D51" s="128">
        <v>1</v>
      </c>
      <c r="E51" s="128">
        <v>2</v>
      </c>
      <c r="F51" s="128">
        <v>3</v>
      </c>
      <c r="G51" s="128">
        <v>4</v>
      </c>
      <c r="H51" s="128">
        <v>5</v>
      </c>
      <c r="I51" s="128">
        <v>6</v>
      </c>
      <c r="J51" s="129">
        <v>7</v>
      </c>
    </row>
    <row r="52" spans="2:11" ht="16.5" thickTop="1">
      <c r="B52" s="70" t="str">
        <f>"["&amp;TEXT(VALUE(MID(J18,2,LEN(J18)-2))+1,"#")&amp;"]"</f>
        <v>[24]</v>
      </c>
      <c r="C52" s="71" t="s">
        <v>0</v>
      </c>
      <c r="D52" s="11">
        <v>0.25</v>
      </c>
      <c r="E52" s="12">
        <v>0.25</v>
      </c>
      <c r="F52" s="12">
        <v>0.25</v>
      </c>
      <c r="G52" s="12">
        <v>0.25</v>
      </c>
      <c r="H52" s="12">
        <v>1</v>
      </c>
      <c r="I52" s="12">
        <v>2</v>
      </c>
      <c r="J52" s="75">
        <v>999.99</v>
      </c>
      <c r="K52" s="83" t="s">
        <v>41</v>
      </c>
    </row>
    <row r="53" spans="2:11" ht="16.5" thickBot="1">
      <c r="B53" s="65" t="str">
        <f>"["&amp;TEXT(VALUE(MID(B52,2,LEN(B52)-2))+1,"#")&amp;"]"</f>
        <v>[25]</v>
      </c>
      <c r="C53" s="72" t="s">
        <v>1</v>
      </c>
      <c r="D53" s="76">
        <v>0</v>
      </c>
      <c r="E53" s="73">
        <v>0.25</v>
      </c>
      <c r="F53" s="73">
        <v>0.5</v>
      </c>
      <c r="G53" s="73">
        <v>0.75</v>
      </c>
      <c r="H53" s="73">
        <v>1</v>
      </c>
      <c r="I53" s="73">
        <v>2</v>
      </c>
      <c r="J53" s="74">
        <v>4</v>
      </c>
      <c r="K53" s="86" t="s">
        <v>41</v>
      </c>
    </row>
    <row r="54" ht="13.5" thickTop="1"/>
    <row r="55" spans="2:10" s="103" customFormat="1" ht="15.75">
      <c r="B55" s="34" t="str">
        <f>B18</f>
        <v>[15]</v>
      </c>
      <c r="D55" s="34" t="str">
        <f>"["&amp;TEXT(VALUE(MID(B53,2,LEN(B53)-2))+1,"#")&amp;"]"</f>
        <v>[26]</v>
      </c>
      <c r="E55" s="34" t="str">
        <f aca="true" t="shared" si="7" ref="E55:J55">"["&amp;TEXT(VALUE(MID(D55,2,LEN(D55)-2))+1,"#")&amp;"]"</f>
        <v>[27]</v>
      </c>
      <c r="F55" s="34" t="str">
        <f t="shared" si="7"/>
        <v>[28]</v>
      </c>
      <c r="G55" s="34" t="str">
        <f t="shared" si="7"/>
        <v>[29]</v>
      </c>
      <c r="H55" s="34" t="str">
        <f t="shared" si="7"/>
        <v>[30]</v>
      </c>
      <c r="I55" s="34" t="str">
        <f t="shared" si="7"/>
        <v>[31]</v>
      </c>
      <c r="J55" s="34" t="str">
        <f t="shared" si="7"/>
        <v>[32]</v>
      </c>
    </row>
    <row r="56" ht="13.5" thickBot="1"/>
    <row r="57" spans="4:11" ht="13.5" thickTop="1">
      <c r="D57" s="10" t="s">
        <v>9</v>
      </c>
      <c r="E57" s="10" t="s">
        <v>10</v>
      </c>
      <c r="F57" s="10" t="s">
        <v>11</v>
      </c>
      <c r="G57" s="10" t="s">
        <v>12</v>
      </c>
      <c r="H57" s="10" t="s">
        <v>13</v>
      </c>
      <c r="I57" s="10" t="s">
        <v>14</v>
      </c>
      <c r="J57" s="10" t="s">
        <v>15</v>
      </c>
      <c r="K57" s="83" t="s">
        <v>44</v>
      </c>
    </row>
    <row r="58" spans="2:11" ht="12.75">
      <c r="B58" s="39" t="s">
        <v>68</v>
      </c>
      <c r="D58" s="10" t="s">
        <v>6</v>
      </c>
      <c r="E58" s="10" t="s">
        <v>6</v>
      </c>
      <c r="F58" s="10" t="s">
        <v>6</v>
      </c>
      <c r="G58" s="10" t="s">
        <v>6</v>
      </c>
      <c r="H58" s="10" t="s">
        <v>6</v>
      </c>
      <c r="I58" s="10" t="s">
        <v>6</v>
      </c>
      <c r="J58" s="10" t="s">
        <v>6</v>
      </c>
      <c r="K58" s="84" t="str">
        <f>"MAX( 0, MIN( "&amp;H18&amp;" -"</f>
        <v>MAX( 0, MIN( [21] -</v>
      </c>
    </row>
    <row r="59" spans="8:11" ht="13.5" thickBot="1">
      <c r="H59" s="6"/>
      <c r="I59" s="6"/>
      <c r="K59" s="81" t="str">
        <f>B53&amp;" * "&amp;E5&amp;", "&amp;B52&amp;" * "&amp;E5&amp;" ) )"</f>
        <v>[25] * [1], [24] * [1] ) )</v>
      </c>
    </row>
    <row r="60" spans="2:10" ht="13.5" thickTop="1">
      <c r="B60" s="30">
        <v>1</v>
      </c>
      <c r="D60" s="8">
        <f aca="true" t="shared" si="8" ref="D60:J69">MAX(0,MIN($H26-D$53*$H$5,D$52*$H$5))</f>
        <v>0</v>
      </c>
      <c r="E60" s="8">
        <f t="shared" si="8"/>
        <v>0</v>
      </c>
      <c r="F60" s="8">
        <f t="shared" si="8"/>
        <v>0</v>
      </c>
      <c r="G60" s="8">
        <f t="shared" si="8"/>
        <v>0</v>
      </c>
      <c r="H60" s="8">
        <f t="shared" si="8"/>
        <v>0</v>
      </c>
      <c r="I60" s="8">
        <f t="shared" si="8"/>
        <v>0</v>
      </c>
      <c r="J60" s="8">
        <f t="shared" si="8"/>
        <v>0</v>
      </c>
    </row>
    <row r="61" spans="2:10" ht="12.75">
      <c r="B61" s="30">
        <v>2</v>
      </c>
      <c r="D61" s="8">
        <f t="shared" si="8"/>
        <v>0</v>
      </c>
      <c r="E61" s="8">
        <f t="shared" si="8"/>
        <v>0</v>
      </c>
      <c r="F61" s="8">
        <f t="shared" si="8"/>
        <v>0</v>
      </c>
      <c r="G61" s="8">
        <f t="shared" si="8"/>
        <v>0</v>
      </c>
      <c r="H61" s="8">
        <f t="shared" si="8"/>
        <v>0</v>
      </c>
      <c r="I61" s="8">
        <f t="shared" si="8"/>
        <v>0</v>
      </c>
      <c r="J61" s="8">
        <f t="shared" si="8"/>
        <v>0</v>
      </c>
    </row>
    <row r="62" spans="2:11" ht="12.75">
      <c r="B62" s="30">
        <v>3</v>
      </c>
      <c r="D62" s="8">
        <f t="shared" si="8"/>
        <v>0</v>
      </c>
      <c r="E62" s="8">
        <f t="shared" si="8"/>
        <v>0</v>
      </c>
      <c r="F62" s="8">
        <f t="shared" si="8"/>
        <v>0</v>
      </c>
      <c r="G62" s="8">
        <f t="shared" si="8"/>
        <v>0</v>
      </c>
      <c r="H62" s="8">
        <f t="shared" si="8"/>
        <v>0</v>
      </c>
      <c r="I62" s="8">
        <f t="shared" si="8"/>
        <v>0</v>
      </c>
      <c r="J62" s="8">
        <f t="shared" si="8"/>
        <v>0</v>
      </c>
      <c r="K62" s="40"/>
    </row>
    <row r="63" spans="2:10" ht="12.75">
      <c r="B63" s="30">
        <v>4</v>
      </c>
      <c r="D63" s="8">
        <f t="shared" si="8"/>
        <v>0</v>
      </c>
      <c r="E63" s="8">
        <f t="shared" si="8"/>
        <v>0</v>
      </c>
      <c r="F63" s="8">
        <f t="shared" si="8"/>
        <v>0</v>
      </c>
      <c r="G63" s="8">
        <f t="shared" si="8"/>
        <v>0</v>
      </c>
      <c r="H63" s="8">
        <f t="shared" si="8"/>
        <v>0</v>
      </c>
      <c r="I63" s="8">
        <f t="shared" si="8"/>
        <v>0</v>
      </c>
      <c r="J63" s="8">
        <f t="shared" si="8"/>
        <v>0</v>
      </c>
    </row>
    <row r="64" spans="2:10" ht="12.75">
      <c r="B64" s="30">
        <v>5</v>
      </c>
      <c r="D64" s="8">
        <f t="shared" si="8"/>
        <v>0</v>
      </c>
      <c r="E64" s="8">
        <f t="shared" si="8"/>
        <v>0</v>
      </c>
      <c r="F64" s="8">
        <f t="shared" si="8"/>
        <v>0</v>
      </c>
      <c r="G64" s="8">
        <f t="shared" si="8"/>
        <v>0</v>
      </c>
      <c r="H64" s="8">
        <f t="shared" si="8"/>
        <v>0</v>
      </c>
      <c r="I64" s="8">
        <f t="shared" si="8"/>
        <v>0</v>
      </c>
      <c r="J64" s="8">
        <f t="shared" si="8"/>
        <v>0</v>
      </c>
    </row>
    <row r="65" spans="2:10" ht="12.75">
      <c r="B65" s="30">
        <v>6</v>
      </c>
      <c r="D65" s="8">
        <f t="shared" si="8"/>
        <v>0</v>
      </c>
      <c r="E65" s="8">
        <f t="shared" si="8"/>
        <v>0</v>
      </c>
      <c r="F65" s="8">
        <f t="shared" si="8"/>
        <v>0</v>
      </c>
      <c r="G65" s="8">
        <f t="shared" si="8"/>
        <v>0</v>
      </c>
      <c r="H65" s="8">
        <f t="shared" si="8"/>
        <v>0</v>
      </c>
      <c r="I65" s="8">
        <f t="shared" si="8"/>
        <v>0</v>
      </c>
      <c r="J65" s="8">
        <f t="shared" si="8"/>
        <v>0</v>
      </c>
    </row>
    <row r="66" spans="2:10" ht="12.75">
      <c r="B66" s="30">
        <v>7</v>
      </c>
      <c r="D66" s="8">
        <f t="shared" si="8"/>
        <v>0</v>
      </c>
      <c r="E66" s="8">
        <f t="shared" si="8"/>
        <v>0</v>
      </c>
      <c r="F66" s="8">
        <f t="shared" si="8"/>
        <v>0</v>
      </c>
      <c r="G66" s="8">
        <f t="shared" si="8"/>
        <v>0</v>
      </c>
      <c r="H66" s="8">
        <f t="shared" si="8"/>
        <v>0</v>
      </c>
      <c r="I66" s="8">
        <f t="shared" si="8"/>
        <v>0</v>
      </c>
      <c r="J66" s="8">
        <f t="shared" si="8"/>
        <v>0</v>
      </c>
    </row>
    <row r="67" spans="2:10" ht="12.75">
      <c r="B67" s="30">
        <v>8</v>
      </c>
      <c r="D67" s="8">
        <f t="shared" si="8"/>
        <v>0</v>
      </c>
      <c r="E67" s="8">
        <f t="shared" si="8"/>
        <v>0</v>
      </c>
      <c r="F67" s="8">
        <f t="shared" si="8"/>
        <v>0</v>
      </c>
      <c r="G67" s="8">
        <f t="shared" si="8"/>
        <v>0</v>
      </c>
      <c r="H67" s="8">
        <f t="shared" si="8"/>
        <v>0</v>
      </c>
      <c r="I67" s="8">
        <f t="shared" si="8"/>
        <v>0</v>
      </c>
      <c r="J67" s="8">
        <f t="shared" si="8"/>
        <v>0</v>
      </c>
    </row>
    <row r="68" spans="2:10" ht="12.75">
      <c r="B68" s="30">
        <v>9</v>
      </c>
      <c r="D68" s="8">
        <f t="shared" si="8"/>
        <v>0</v>
      </c>
      <c r="E68" s="8">
        <f t="shared" si="8"/>
        <v>0</v>
      </c>
      <c r="F68" s="8">
        <f t="shared" si="8"/>
        <v>0</v>
      </c>
      <c r="G68" s="8">
        <f t="shared" si="8"/>
        <v>0</v>
      </c>
      <c r="H68" s="8">
        <f t="shared" si="8"/>
        <v>0</v>
      </c>
      <c r="I68" s="8">
        <f t="shared" si="8"/>
        <v>0</v>
      </c>
      <c r="J68" s="8">
        <f t="shared" si="8"/>
        <v>0</v>
      </c>
    </row>
    <row r="69" spans="2:10" ht="12.75">
      <c r="B69" s="30">
        <v>10</v>
      </c>
      <c r="D69" s="8">
        <f t="shared" si="8"/>
        <v>10.395959999999718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</row>
    <row r="70" spans="2:10" ht="12.75">
      <c r="B70" s="30">
        <v>11</v>
      </c>
      <c r="D70" s="8">
        <f aca="true" t="shared" si="9" ref="D70:J79">MAX(0,MIN($H36-D$53*$H$5,D$52*$H$5))</f>
        <v>70.39595999999972</v>
      </c>
      <c r="E70" s="8">
        <f t="shared" si="9"/>
        <v>0</v>
      </c>
      <c r="F70" s="8">
        <f t="shared" si="9"/>
        <v>0</v>
      </c>
      <c r="G70" s="8">
        <f t="shared" si="9"/>
        <v>0</v>
      </c>
      <c r="H70" s="8">
        <f t="shared" si="9"/>
        <v>0</v>
      </c>
      <c r="I70" s="8">
        <f t="shared" si="9"/>
        <v>0</v>
      </c>
      <c r="J70" s="8">
        <f t="shared" si="9"/>
        <v>0</v>
      </c>
    </row>
    <row r="71" spans="2:10" ht="12.75">
      <c r="B71" s="30">
        <v>12</v>
      </c>
      <c r="D71" s="8">
        <f t="shared" si="9"/>
        <v>130.39595999999972</v>
      </c>
      <c r="E71" s="8">
        <f t="shared" si="9"/>
        <v>0</v>
      </c>
      <c r="F71" s="8">
        <f t="shared" si="9"/>
        <v>0</v>
      </c>
      <c r="G71" s="8">
        <f t="shared" si="9"/>
        <v>0</v>
      </c>
      <c r="H71" s="8">
        <f t="shared" si="9"/>
        <v>0</v>
      </c>
      <c r="I71" s="8">
        <f t="shared" si="9"/>
        <v>0</v>
      </c>
      <c r="J71" s="8">
        <f t="shared" si="9"/>
        <v>0</v>
      </c>
    </row>
    <row r="72" spans="2:10" ht="12.75">
      <c r="B72" s="30">
        <v>13</v>
      </c>
      <c r="D72" s="8">
        <f t="shared" si="9"/>
        <v>250.39595999999972</v>
      </c>
      <c r="E72" s="8">
        <f t="shared" si="9"/>
        <v>0</v>
      </c>
      <c r="F72" s="8">
        <f t="shared" si="9"/>
        <v>0</v>
      </c>
      <c r="G72" s="8">
        <f t="shared" si="9"/>
        <v>0</v>
      </c>
      <c r="H72" s="8">
        <f t="shared" si="9"/>
        <v>0</v>
      </c>
      <c r="I72" s="8">
        <f t="shared" si="9"/>
        <v>0</v>
      </c>
      <c r="J72" s="8">
        <f t="shared" si="9"/>
        <v>0</v>
      </c>
    </row>
    <row r="73" spans="2:10" ht="12.75">
      <c r="B73" s="30">
        <v>14</v>
      </c>
      <c r="D73" s="8">
        <f t="shared" si="9"/>
        <v>370.3959599999997</v>
      </c>
      <c r="E73" s="8">
        <f t="shared" si="9"/>
        <v>0</v>
      </c>
      <c r="F73" s="8">
        <f t="shared" si="9"/>
        <v>0</v>
      </c>
      <c r="G73" s="8">
        <f t="shared" si="9"/>
        <v>0</v>
      </c>
      <c r="H73" s="8">
        <f t="shared" si="9"/>
        <v>0</v>
      </c>
      <c r="I73" s="8">
        <f t="shared" si="9"/>
        <v>0</v>
      </c>
      <c r="J73" s="8">
        <f t="shared" si="9"/>
        <v>0</v>
      </c>
    </row>
    <row r="74" spans="2:10" ht="12.75">
      <c r="B74" s="30">
        <v>15</v>
      </c>
      <c r="D74" s="8">
        <f t="shared" si="9"/>
        <v>490.3959599999997</v>
      </c>
      <c r="E74" s="8">
        <f t="shared" si="9"/>
        <v>0</v>
      </c>
      <c r="F74" s="8">
        <f t="shared" si="9"/>
        <v>0</v>
      </c>
      <c r="G74" s="8">
        <f t="shared" si="9"/>
        <v>0</v>
      </c>
      <c r="H74" s="8">
        <f t="shared" si="9"/>
        <v>0</v>
      </c>
      <c r="I74" s="8">
        <f t="shared" si="9"/>
        <v>0</v>
      </c>
      <c r="J74" s="8">
        <f t="shared" si="9"/>
        <v>0</v>
      </c>
    </row>
    <row r="75" spans="2:10" ht="12.75">
      <c r="B75" s="30">
        <v>16</v>
      </c>
      <c r="D75" s="8">
        <f t="shared" si="9"/>
        <v>610.3959599999997</v>
      </c>
      <c r="E75" s="8">
        <f t="shared" si="9"/>
        <v>0</v>
      </c>
      <c r="F75" s="8">
        <f t="shared" si="9"/>
        <v>0</v>
      </c>
      <c r="G75" s="8">
        <f t="shared" si="9"/>
        <v>0</v>
      </c>
      <c r="H75" s="8">
        <f t="shared" si="9"/>
        <v>0</v>
      </c>
      <c r="I75" s="8">
        <f t="shared" si="9"/>
        <v>0</v>
      </c>
      <c r="J75" s="8">
        <f t="shared" si="9"/>
        <v>0</v>
      </c>
    </row>
    <row r="76" spans="2:10" ht="12.75">
      <c r="B76" s="30">
        <v>17</v>
      </c>
      <c r="D76" s="8">
        <f t="shared" si="9"/>
        <v>730.3959599999997</v>
      </c>
      <c r="E76" s="8">
        <f t="shared" si="9"/>
        <v>0</v>
      </c>
      <c r="F76" s="8">
        <f t="shared" si="9"/>
        <v>0</v>
      </c>
      <c r="G76" s="8">
        <f t="shared" si="9"/>
        <v>0</v>
      </c>
      <c r="H76" s="8">
        <f t="shared" si="9"/>
        <v>0</v>
      </c>
      <c r="I76" s="8">
        <f t="shared" si="9"/>
        <v>0</v>
      </c>
      <c r="J76" s="8">
        <f t="shared" si="9"/>
        <v>0</v>
      </c>
    </row>
    <row r="77" spans="2:10" ht="12.75">
      <c r="B77" s="30">
        <v>18</v>
      </c>
      <c r="D77" s="8">
        <f t="shared" si="9"/>
        <v>850.3959599999997</v>
      </c>
      <c r="E77" s="8">
        <f t="shared" si="9"/>
        <v>0</v>
      </c>
      <c r="F77" s="8">
        <f t="shared" si="9"/>
        <v>0</v>
      </c>
      <c r="G77" s="8">
        <f t="shared" si="9"/>
        <v>0</v>
      </c>
      <c r="H77" s="8">
        <f t="shared" si="9"/>
        <v>0</v>
      </c>
      <c r="I77" s="8">
        <f t="shared" si="9"/>
        <v>0</v>
      </c>
      <c r="J77" s="8">
        <f t="shared" si="9"/>
        <v>0</v>
      </c>
    </row>
    <row r="78" spans="2:10" ht="12.75">
      <c r="B78" s="30">
        <v>19</v>
      </c>
      <c r="D78" s="8">
        <f t="shared" si="9"/>
        <v>900</v>
      </c>
      <c r="E78" s="8">
        <f t="shared" si="9"/>
        <v>70.39595999999972</v>
      </c>
      <c r="F78" s="8">
        <f t="shared" si="9"/>
        <v>0</v>
      </c>
      <c r="G78" s="8">
        <f t="shared" si="9"/>
        <v>0</v>
      </c>
      <c r="H78" s="8">
        <f t="shared" si="9"/>
        <v>0</v>
      </c>
      <c r="I78" s="8">
        <f t="shared" si="9"/>
        <v>0</v>
      </c>
      <c r="J78" s="8">
        <f t="shared" si="9"/>
        <v>0</v>
      </c>
    </row>
    <row r="79" spans="2:10" ht="12.75">
      <c r="B79" s="37">
        <v>20</v>
      </c>
      <c r="D79" s="8">
        <f t="shared" si="9"/>
        <v>900</v>
      </c>
      <c r="E79" s="8">
        <f t="shared" si="9"/>
        <v>190.39595999999983</v>
      </c>
      <c r="F79" s="8">
        <f t="shared" si="9"/>
        <v>0</v>
      </c>
      <c r="G79" s="8">
        <f t="shared" si="9"/>
        <v>0</v>
      </c>
      <c r="H79" s="8">
        <f t="shared" si="9"/>
        <v>0</v>
      </c>
      <c r="I79" s="8">
        <f t="shared" si="9"/>
        <v>0</v>
      </c>
      <c r="J79" s="8">
        <f t="shared" si="9"/>
        <v>0</v>
      </c>
    </row>
    <row r="80" spans="4:10" ht="12.75">
      <c r="D80" s="8"/>
      <c r="E80" s="8"/>
      <c r="F80" s="8"/>
      <c r="G80" s="8"/>
      <c r="H80" s="8"/>
      <c r="I80" s="8"/>
      <c r="J80" s="8"/>
    </row>
    <row r="81" ht="13.5" thickBot="1"/>
    <row r="82" spans="1:11" ht="16.5" thickTop="1">
      <c r="A82" s="77" t="str">
        <f>"["&amp;TEXT(VALUE(MID(J55,2,LEN(J55)-2))+1,"#")&amp;"]"</f>
        <v>[33]</v>
      </c>
      <c r="B82" s="60" t="s">
        <v>40</v>
      </c>
      <c r="C82" s="21"/>
      <c r="D82" s="93">
        <f aca="true" t="shared" si="10" ref="D82:J82">SUMPRODUCT($C26:$C45,D60:D79)</f>
        <v>103.71086879999993</v>
      </c>
      <c r="E82" s="93">
        <f t="shared" si="10"/>
        <v>2.6079191999999956</v>
      </c>
      <c r="F82" s="93">
        <f t="shared" si="10"/>
        <v>0</v>
      </c>
      <c r="G82" s="93">
        <f t="shared" si="10"/>
        <v>0</v>
      </c>
      <c r="H82" s="93">
        <f t="shared" si="10"/>
        <v>0</v>
      </c>
      <c r="I82" s="93">
        <f t="shared" si="10"/>
        <v>0</v>
      </c>
      <c r="J82" s="94">
        <f t="shared" si="10"/>
        <v>0</v>
      </c>
      <c r="K82" s="49" t="s">
        <v>66</v>
      </c>
    </row>
    <row r="83" spans="1:11" ht="16.5" thickBot="1">
      <c r="A83" s="61" t="str">
        <f>"["&amp;TEXT(VALUE(MID(A82,2,LEN(A82)-2))+1,"#")&amp;"]"</f>
        <v>[34]</v>
      </c>
      <c r="B83" s="62" t="s">
        <v>25</v>
      </c>
      <c r="C83" s="22"/>
      <c r="D83" s="95">
        <f aca="true" t="shared" si="11" ref="D83:J83">D$82/$H$5/D$52</f>
        <v>0.11523429866666658</v>
      </c>
      <c r="E83" s="95">
        <f t="shared" si="11"/>
        <v>0.002897687999999995</v>
      </c>
      <c r="F83" s="95">
        <f t="shared" si="11"/>
        <v>0</v>
      </c>
      <c r="G83" s="95">
        <f t="shared" si="11"/>
        <v>0</v>
      </c>
      <c r="H83" s="95">
        <f t="shared" si="11"/>
        <v>0</v>
      </c>
      <c r="I83" s="95">
        <f t="shared" si="11"/>
        <v>0</v>
      </c>
      <c r="J83" s="96">
        <f t="shared" si="11"/>
        <v>0</v>
      </c>
      <c r="K83" s="50" t="str">
        <f>"="&amp;A82&amp;" / "&amp;E5&amp;" / "&amp;B52</f>
        <v>=[33] / [1] / [24]</v>
      </c>
    </row>
    <row r="84" spans="1:11" ht="15.75">
      <c r="A84" s="61" t="str">
        <f>"["&amp;TEXT(VALUE(MID(A83,2,LEN(A83)-2))+1,"#")&amp;"]"</f>
        <v>[35]</v>
      </c>
      <c r="B84" s="63" t="s">
        <v>26</v>
      </c>
      <c r="C84" s="22"/>
      <c r="D84" s="18">
        <v>0.1</v>
      </c>
      <c r="E84" s="19">
        <v>0.25</v>
      </c>
      <c r="F84" s="19">
        <v>0.5</v>
      </c>
      <c r="G84" s="19">
        <v>0.75</v>
      </c>
      <c r="H84" s="19">
        <v>1</v>
      </c>
      <c r="I84" s="19">
        <v>2</v>
      </c>
      <c r="J84" s="78">
        <v>4</v>
      </c>
      <c r="K84" s="80" t="s">
        <v>41</v>
      </c>
    </row>
    <row r="85" spans="1:11" ht="16.5" thickBot="1">
      <c r="A85" s="61" t="str">
        <f>"["&amp;TEXT(VALUE(MID(A84,2,LEN(A84)-2))+1,"#")&amp;"]"</f>
        <v>[36]</v>
      </c>
      <c r="B85" s="63" t="s">
        <v>27</v>
      </c>
      <c r="C85" s="22"/>
      <c r="D85" s="16">
        <v>0.001</v>
      </c>
      <c r="E85" s="17">
        <v>0.001</v>
      </c>
      <c r="F85" s="17">
        <v>0.001</v>
      </c>
      <c r="G85" s="17">
        <v>0.001</v>
      </c>
      <c r="H85" s="17">
        <v>0.001</v>
      </c>
      <c r="I85" s="17">
        <v>0.001</v>
      </c>
      <c r="J85" s="79">
        <v>0.001</v>
      </c>
      <c r="K85" s="80" t="s">
        <v>41</v>
      </c>
    </row>
    <row r="86" spans="1:11" ht="15.75">
      <c r="A86" s="61" t="str">
        <f>"["&amp;TEXT(VALUE(MID(A85,2,LEN(A85)-2))+1,"#")&amp;"]"</f>
        <v>[37]</v>
      </c>
      <c r="B86" s="64" t="s">
        <v>34</v>
      </c>
      <c r="C86" s="22"/>
      <c r="D86" s="95">
        <f>IF(D83&gt;0,D85+(1+D84)*D83,0)</f>
        <v>0.12775772853333325</v>
      </c>
      <c r="E86" s="95">
        <f aca="true" t="shared" si="12" ref="E86:J86">IF(E83&gt;0,E85+(1+E84)*E83,0)</f>
        <v>0.0046221099999999935</v>
      </c>
      <c r="F86" s="95">
        <f t="shared" si="12"/>
        <v>0</v>
      </c>
      <c r="G86" s="95">
        <f t="shared" si="12"/>
        <v>0</v>
      </c>
      <c r="H86" s="95">
        <f t="shared" si="12"/>
        <v>0</v>
      </c>
      <c r="I86" s="95">
        <f t="shared" si="12"/>
        <v>0</v>
      </c>
      <c r="J86" s="96">
        <f t="shared" si="12"/>
        <v>0</v>
      </c>
      <c r="K86" s="50" t="str">
        <f>"="&amp;A83&amp;" *(1+"&amp;A84&amp;" ) + "&amp;A85</f>
        <v>=[34] *(1+[35] ) + [36]</v>
      </c>
    </row>
    <row r="87" spans="1:11" ht="16.5" thickBot="1">
      <c r="A87" s="65" t="str">
        <f>"["&amp;TEXT(VALUE(MID(A86,2,LEN(A86)-2))+1,"#")&amp;"]"</f>
        <v>[38]</v>
      </c>
      <c r="B87" s="66" t="s">
        <v>7</v>
      </c>
      <c r="C87" s="25"/>
      <c r="D87" s="97">
        <f aca="true" t="shared" si="13" ref="D87:J87">D86*D52*$H5</f>
        <v>114.98195567999993</v>
      </c>
      <c r="E87" s="97">
        <f t="shared" si="13"/>
        <v>4.159898999999994</v>
      </c>
      <c r="F87" s="97">
        <f t="shared" si="13"/>
        <v>0</v>
      </c>
      <c r="G87" s="97">
        <f t="shared" si="13"/>
        <v>0</v>
      </c>
      <c r="H87" s="97">
        <f t="shared" si="13"/>
        <v>0</v>
      </c>
      <c r="I87" s="97">
        <f t="shared" si="13"/>
        <v>0</v>
      </c>
      <c r="J87" s="98">
        <f t="shared" si="13"/>
        <v>0</v>
      </c>
      <c r="K87" s="81" t="str">
        <f>"="&amp;A86&amp;" * "&amp;E5&amp;" * "&amp;B52</f>
        <v>=[37] * [1] * [24]</v>
      </c>
    </row>
    <row r="88" ht="16.5" thickTop="1">
      <c r="A88" s="33"/>
    </row>
  </sheetData>
  <printOptions horizontalCentered="1" verticalCentered="1"/>
  <pageMargins left="0.75" right="0.75" top="0.49" bottom="0.5" header="0.5" footer="0.5"/>
  <pageSetup fitToHeight="2" fitToWidth="1" horizontalDpi="300" verticalDpi="300" orientation="landscape" scale="77" r:id="rId1"/>
  <headerFooter alignWithMargins="0">
    <oddHeader>&amp;R&amp;"Arial,Bold Italic"&amp;14Page &amp;P of &amp;N</oddHeader>
  </headerFooter>
  <rowBreaks count="2" manualBreakCount="2">
    <brk id="48" max="10" man="1"/>
    <brk id="4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11111">
    <pageSetUpPr fitToPage="1"/>
  </sheetPr>
  <dimension ref="A1:L8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13.421875" style="0" customWidth="1"/>
    <col min="3" max="4" width="13.00390625" style="0" customWidth="1"/>
    <col min="5" max="5" width="13.28125" style="0" customWidth="1"/>
    <col min="6" max="6" width="15.7109375" style="0" customWidth="1"/>
    <col min="7" max="7" width="13.8515625" style="0" customWidth="1"/>
    <col min="8" max="8" width="12.140625" style="0" customWidth="1"/>
    <col min="9" max="9" width="15.421875" style="0" customWidth="1"/>
    <col min="10" max="10" width="17.421875" style="0" customWidth="1"/>
    <col min="11" max="11" width="19.8515625" style="0" customWidth="1"/>
    <col min="12" max="12" width="14.140625" style="0" customWidth="1"/>
    <col min="13" max="16" width="11.421875" style="0" customWidth="1"/>
    <col min="17" max="17" width="11.7109375" style="0" customWidth="1"/>
  </cols>
  <sheetData>
    <row r="1" spans="1:12" ht="26.25">
      <c r="A1" s="43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6.25">
      <c r="A2" s="45" t="s">
        <v>69</v>
      </c>
      <c r="B2" s="44"/>
      <c r="C2" s="44"/>
      <c r="D2" s="44"/>
      <c r="E2" s="44"/>
      <c r="F2" s="45"/>
      <c r="G2" s="44"/>
      <c r="H2" s="44"/>
      <c r="I2" s="44"/>
      <c r="J2" s="44"/>
      <c r="K2" s="44"/>
      <c r="L2" s="44"/>
    </row>
    <row r="3" ht="13.5" thickBot="1">
      <c r="A3" s="1"/>
    </row>
    <row r="4" spans="1:11" ht="20.25" thickBot="1" thickTop="1">
      <c r="A4" s="1"/>
      <c r="E4" s="52"/>
      <c r="F4" s="55"/>
      <c r="G4" s="55" t="s">
        <v>32</v>
      </c>
      <c r="H4" s="54"/>
      <c r="I4" s="59"/>
      <c r="J4" s="119" t="s">
        <v>51</v>
      </c>
      <c r="K4" s="22"/>
    </row>
    <row r="5" spans="1:12" ht="17.25" thickBot="1" thickTop="1">
      <c r="A5" s="1"/>
      <c r="E5" s="106" t="s">
        <v>31</v>
      </c>
      <c r="F5" s="111" t="s">
        <v>75</v>
      </c>
      <c r="G5" s="115"/>
      <c r="H5" s="116">
        <v>5325</v>
      </c>
      <c r="I5" s="83" t="s">
        <v>41</v>
      </c>
      <c r="J5" s="120">
        <f>H5-Case1!H5</f>
        <v>1725</v>
      </c>
      <c r="L5" s="40"/>
    </row>
    <row r="6" spans="1:10" ht="16.5" thickBot="1">
      <c r="A6" s="1"/>
      <c r="E6" s="106" t="str">
        <f>"["&amp;TEXT(VALUE(MID(E5,2,LEN(E5)-2))+1,"#")&amp;"]"</f>
        <v>[2]</v>
      </c>
      <c r="F6" s="110" t="s">
        <v>18</v>
      </c>
      <c r="G6" s="115"/>
      <c r="H6" s="118">
        <v>0.081</v>
      </c>
      <c r="I6" s="87" t="s">
        <v>41</v>
      </c>
      <c r="J6" s="121">
        <f>(E11-Case1!E11)/(Case8!E12-Case1!E12)</f>
        <v>0.157771653543307</v>
      </c>
    </row>
    <row r="7" spans="1:9" ht="16.5" thickBot="1">
      <c r="A7" s="1"/>
      <c r="E7" s="35" t="str">
        <f>"["&amp;TEXT(VALUE(MID(E6,2,LEN(E6)-2))+1,"#")&amp;"]"</f>
        <v>[3]</v>
      </c>
      <c r="F7" s="22" t="s">
        <v>21</v>
      </c>
      <c r="G7" s="124"/>
      <c r="H7" s="125">
        <v>1200</v>
      </c>
      <c r="I7" s="87" t="s">
        <v>41</v>
      </c>
    </row>
    <row r="8" spans="1:9" ht="16.5" thickBot="1">
      <c r="A8" s="1"/>
      <c r="E8" s="36" t="str">
        <f>"["&amp;TEXT(VALUE(MID(E7,2,LEN(E7)-2))+1,"#")&amp;"]"</f>
        <v>[4]</v>
      </c>
      <c r="F8" s="25" t="s">
        <v>64</v>
      </c>
      <c r="G8" s="26"/>
      <c r="H8" s="126">
        <v>0.05</v>
      </c>
      <c r="I8" s="86" t="s">
        <v>41</v>
      </c>
    </row>
    <row r="9" spans="1:11" ht="17.25" thickBot="1" thickTop="1">
      <c r="A9" s="1"/>
      <c r="C9" s="41"/>
      <c r="D9" s="22"/>
      <c r="E9" s="13"/>
      <c r="F9" s="13"/>
      <c r="H9" s="41"/>
      <c r="I9" s="28"/>
      <c r="J9" s="22"/>
      <c r="K9" s="32"/>
    </row>
    <row r="10" spans="1:11" ht="20.25" thickBot="1" thickTop="1">
      <c r="A10" s="1"/>
      <c r="B10" s="52"/>
      <c r="C10" s="53"/>
      <c r="D10" s="54"/>
      <c r="E10" s="21"/>
      <c r="F10" s="55"/>
      <c r="G10" s="55" t="s">
        <v>33</v>
      </c>
      <c r="H10" s="53"/>
      <c r="I10" s="56"/>
      <c r="J10" s="54"/>
      <c r="K10" s="57"/>
    </row>
    <row r="11" spans="1:11" ht="16.5" thickTop="1">
      <c r="A11" s="1"/>
      <c r="B11" s="46" t="str">
        <f>"["&amp;TEXT(VALUE(MID(E8,2,LEN(E8)-2))+1,"#")&amp;"]"</f>
        <v>[5]</v>
      </c>
      <c r="C11" s="47" t="s">
        <v>19</v>
      </c>
      <c r="D11" s="48"/>
      <c r="E11" s="99">
        <f>H6*E12</f>
        <v>71.10180000000001</v>
      </c>
      <c r="F11" s="49" t="str">
        <f>"="&amp;E6&amp;" * "&amp;B12</f>
        <v>=[2] * [6]</v>
      </c>
      <c r="G11" s="46" t="str">
        <f>"["&amp;TEXT(VALUE(MID(B15,2,LEN(B15)-2))+1,"#")&amp;"]"</f>
        <v>[10]</v>
      </c>
      <c r="H11" s="21" t="s">
        <v>39</v>
      </c>
      <c r="I11" s="21"/>
      <c r="J11" s="93">
        <f>SUMPRODUCT($C26:$C45,I26:I45)</f>
        <v>5709.79689</v>
      </c>
      <c r="K11" s="49" t="str">
        <f>"=E{ "&amp;I18&amp;" }"</f>
        <v>=E{ [22] }</v>
      </c>
    </row>
    <row r="12" spans="1:11" ht="15.75">
      <c r="A12" s="1"/>
      <c r="B12" s="35" t="str">
        <f>"["&amp;TEXT(VALUE(MID(B11,2,LEN(B11)-2))+1,"#")&amp;"]"</f>
        <v>[6]</v>
      </c>
      <c r="C12" s="28" t="s">
        <v>37</v>
      </c>
      <c r="D12" s="22"/>
      <c r="E12" s="14">
        <f>SUMPRODUCT($C26:$C45,F26:F45)</f>
        <v>877.8000000000002</v>
      </c>
      <c r="F12" s="50" t="str">
        <f>"=E{ "&amp;F18&amp;" }"</f>
        <v>=E{ [19] }</v>
      </c>
      <c r="G12" s="106" t="str">
        <f>"["&amp;TEXT(VALUE(MID(G11,2,LEN(G11)-2))+1,"#")&amp;"]"</f>
        <v>[11]</v>
      </c>
      <c r="H12" s="110" t="s">
        <v>20</v>
      </c>
      <c r="I12" s="111"/>
      <c r="J12" s="107">
        <f>J11/H5-1</f>
        <v>0.07226232676056332</v>
      </c>
      <c r="K12" s="112" t="str">
        <f>"="&amp;G11&amp;" / "&amp;E5&amp;" - 1.00"</f>
        <v>=[10] / [1] - 1.00</v>
      </c>
    </row>
    <row r="13" spans="1:11" ht="15.75">
      <c r="A13" s="1"/>
      <c r="B13" s="35" t="str">
        <f>"["&amp;TEXT(VALUE(MID(B12,2,LEN(B12)-2))+1,"#")&amp;"]"</f>
        <v>[7]</v>
      </c>
      <c r="C13" s="28" t="s">
        <v>22</v>
      </c>
      <c r="D13" s="22"/>
      <c r="E13" s="100">
        <f>E11+H5+E12</f>
        <v>6273.901800000001</v>
      </c>
      <c r="F13" s="50" t="str">
        <f>"="&amp;E5&amp;" +"&amp;B11&amp;" +"&amp;B12</f>
        <v>=[1] +[5] +[6]</v>
      </c>
      <c r="G13" s="35" t="str">
        <f>"["&amp;TEXT(VALUE(MID(G12,2,LEN(G12)-2))+1,"#")&amp;"]"</f>
        <v>[12]</v>
      </c>
      <c r="H13" s="27" t="s">
        <v>35</v>
      </c>
      <c r="I13" s="22"/>
      <c r="J13" s="102">
        <f>SUM(D87:J87)</f>
        <v>118.51365599999995</v>
      </c>
      <c r="K13" s="50" t="str">
        <f>"=Sum{ "&amp;A87&amp;" }"</f>
        <v>=Sum{ [38] }</v>
      </c>
    </row>
    <row r="14" spans="1:11" ht="15.75">
      <c r="A14" s="1"/>
      <c r="B14" s="35" t="str">
        <f>"["&amp;TEXT(VALUE(MID(B13,2,LEN(B13)-2))+1,"#")&amp;"]"</f>
        <v>[8]</v>
      </c>
      <c r="C14" s="28" t="s">
        <v>38</v>
      </c>
      <c r="D14" s="22"/>
      <c r="E14" s="14">
        <f>SUMPRODUCT($C26:$C45,H26:H45)</f>
        <v>106.52945999999994</v>
      </c>
      <c r="F14" s="50" t="str">
        <f>"=E{ "&amp;H18&amp;" }"</f>
        <v>=E{ [21] }</v>
      </c>
      <c r="G14" s="106" t="str">
        <f>"["&amp;TEXT(VALUE(MID(G13,2,LEN(G13)-2))+1,"#")&amp;"]"</f>
        <v>[13]</v>
      </c>
      <c r="H14" s="111" t="s">
        <v>8</v>
      </c>
      <c r="I14" s="111"/>
      <c r="J14" s="107">
        <f>J13/H5+H8</f>
        <v>0.07225608563380281</v>
      </c>
      <c r="K14" s="112" t="str">
        <f>"="&amp;G13&amp;" / "&amp;E5&amp;" + "&amp;E8</f>
        <v>=[12] / [1] + [4]</v>
      </c>
    </row>
    <row r="15" spans="1:11" ht="16.5" thickBot="1">
      <c r="A15" s="1"/>
      <c r="B15" s="108" t="str">
        <f>"["&amp;TEXT(VALUE(MID(B14,2,LEN(B14)-2))+1,"#")&amp;"]"</f>
        <v>[9]</v>
      </c>
      <c r="C15" s="113" t="s">
        <v>65</v>
      </c>
      <c r="D15" s="113"/>
      <c r="E15" s="109">
        <f>E14/H5</f>
        <v>0.020005532394366185</v>
      </c>
      <c r="F15" s="114" t="str">
        <f>"="&amp;B14&amp;" / "&amp;E5</f>
        <v>=[8] / [1]</v>
      </c>
      <c r="G15" s="108" t="str">
        <f>"["&amp;TEXT(VALUE(MID(G14,2,LEN(G14)-2))+1,"#")&amp;"]"</f>
        <v>[14]</v>
      </c>
      <c r="H15" s="113" t="s">
        <v>52</v>
      </c>
      <c r="I15" s="113"/>
      <c r="J15" s="109">
        <f>J14-E15-H8</f>
        <v>0.0022505532394366257</v>
      </c>
      <c r="K15" s="114" t="str">
        <f>"="&amp;G14&amp;" - "&amp;B15&amp;" - "&amp;E8</f>
        <v>=[13] - [9] - [4]</v>
      </c>
    </row>
    <row r="16" spans="1:8" ht="16.5" thickTop="1">
      <c r="A16" s="1"/>
      <c r="H16" s="41"/>
    </row>
    <row r="17" ht="12.75">
      <c r="A17" s="1"/>
    </row>
    <row r="18" spans="2:10" ht="15.75">
      <c r="B18" s="34" t="str">
        <f>"["&amp;TEXT(VALUE(MID(G15,2,LEN(G15)-2))+1,"#")&amp;"]"</f>
        <v>[15]</v>
      </c>
      <c r="C18" s="34" t="str">
        <f aca="true" t="shared" si="0" ref="C18:J18">"["&amp;TEXT(VALUE(MID(B18,2,LEN(B18)-2))+1,"#")&amp;"]"</f>
        <v>[16]</v>
      </c>
      <c r="D18" s="34" t="str">
        <f t="shared" si="0"/>
        <v>[17]</v>
      </c>
      <c r="E18" s="34" t="str">
        <f t="shared" si="0"/>
        <v>[18]</v>
      </c>
      <c r="F18" s="34" t="str">
        <f t="shared" si="0"/>
        <v>[19]</v>
      </c>
      <c r="G18" s="34" t="str">
        <f t="shared" si="0"/>
        <v>[20]</v>
      </c>
      <c r="H18" s="34" t="str">
        <f t="shared" si="0"/>
        <v>[21]</v>
      </c>
      <c r="I18" s="34" t="str">
        <f t="shared" si="0"/>
        <v>[22]</v>
      </c>
      <c r="J18" s="34" t="str">
        <f t="shared" si="0"/>
        <v>[23]</v>
      </c>
    </row>
    <row r="19" spans="2:10" ht="12.75" customHeight="1">
      <c r="B19" s="34"/>
      <c r="C19" s="34"/>
      <c r="D19" s="34"/>
      <c r="E19" s="34"/>
      <c r="F19" s="34"/>
      <c r="G19" s="34"/>
      <c r="H19" s="34"/>
      <c r="I19" s="34"/>
      <c r="J19" s="34"/>
    </row>
    <row r="20" spans="2:10" ht="12.75">
      <c r="B20" s="31"/>
      <c r="C20" s="31"/>
      <c r="D20" s="31"/>
      <c r="E20" s="31"/>
      <c r="F20" s="31"/>
      <c r="G20" s="31" t="s">
        <v>43</v>
      </c>
      <c r="H20" s="31"/>
      <c r="I20" s="31"/>
      <c r="J20" s="30"/>
    </row>
    <row r="21" spans="2:10" ht="12.75">
      <c r="B21" s="31"/>
      <c r="C21" s="38"/>
      <c r="D21" s="31"/>
      <c r="E21" s="31"/>
      <c r="F21" s="31"/>
      <c r="G21" s="31" t="s">
        <v>28</v>
      </c>
      <c r="H21" s="31"/>
      <c r="I21" s="31"/>
      <c r="J21" s="31"/>
    </row>
    <row r="22" spans="2:10" ht="12.75">
      <c r="B22" s="39" t="s">
        <v>68</v>
      </c>
      <c r="C22" s="39" t="s">
        <v>3</v>
      </c>
      <c r="D22" s="39" t="s">
        <v>4</v>
      </c>
      <c r="E22" s="39" t="s">
        <v>24</v>
      </c>
      <c r="F22" s="39" t="s">
        <v>5</v>
      </c>
      <c r="G22" s="31" t="s">
        <v>29</v>
      </c>
      <c r="H22" s="39" t="s">
        <v>6</v>
      </c>
      <c r="I22" s="39" t="s">
        <v>16</v>
      </c>
      <c r="J22" s="39" t="s">
        <v>17</v>
      </c>
    </row>
    <row r="23" spans="3:10" ht="12.75">
      <c r="C23" s="85" t="s">
        <v>41</v>
      </c>
      <c r="D23" s="42" t="s">
        <v>36</v>
      </c>
      <c r="E23" s="85" t="s">
        <v>41</v>
      </c>
      <c r="F23" s="42" t="str">
        <f>"="&amp;E7&amp;" * "&amp;E18</f>
        <v>=[3] * [18]</v>
      </c>
      <c r="G23" s="42" t="str">
        <f>"="&amp;B11&amp;" + "&amp;B12</f>
        <v>=[5] + [6]</v>
      </c>
      <c r="H23" s="42" t="s">
        <v>42</v>
      </c>
      <c r="I23" s="42" t="str">
        <f>"="&amp;B13&amp;" * (1.00 + "&amp;E8&amp;" )"</f>
        <v>=[7] * (1.00 + [4] )</v>
      </c>
      <c r="J23" s="42" t="str">
        <f>"="&amp;H18&amp;" / "&amp;E5</f>
        <v>=[21] / [1]</v>
      </c>
    </row>
    <row r="24" spans="4:10" ht="12.75">
      <c r="D24" s="42" t="str">
        <f>"of "&amp;C18</f>
        <v>of [16]</v>
      </c>
      <c r="E24" s="82"/>
      <c r="F24" s="82"/>
      <c r="G24" s="82"/>
      <c r="H24" s="42" t="str">
        <f>F18&amp;" - "&amp;G18&amp;" )"</f>
        <v>[19] - [20] )</v>
      </c>
      <c r="I24" s="85" t="str">
        <f>"- "&amp;F18</f>
        <v>- [19]</v>
      </c>
      <c r="J24" s="82"/>
    </row>
    <row r="25" ht="13.5" thickBot="1"/>
    <row r="26" spans="2:10" ht="12.75">
      <c r="B26" s="30">
        <v>1</v>
      </c>
      <c r="C26" s="88">
        <f>Case7!C26</f>
        <v>0.02</v>
      </c>
      <c r="D26" s="3">
        <f aca="true" t="shared" si="1" ref="D26:D45">C26+D25</f>
        <v>0.02</v>
      </c>
      <c r="E26" s="88">
        <f>Case7!E26</f>
        <v>0.35</v>
      </c>
      <c r="F26" s="91">
        <f aca="true" t="shared" si="2" ref="F26:F45">E26*$H$7</f>
        <v>420</v>
      </c>
      <c r="G26" s="91">
        <f>(1+H$6)*E$12</f>
        <v>948.9018000000002</v>
      </c>
      <c r="H26" s="91">
        <f aca="true" t="shared" si="3" ref="H26:H45">MAX(F26-G26,0)</f>
        <v>0</v>
      </c>
      <c r="I26" s="91">
        <f aca="true" t="shared" si="4" ref="I26:I45">$E$13*(1+$H$8)-F26</f>
        <v>6167.596890000001</v>
      </c>
      <c r="J26" s="92">
        <f aca="true" t="shared" si="5" ref="J26:J45">H26/H$5</f>
        <v>0</v>
      </c>
    </row>
    <row r="27" spans="2:10" ht="12.75">
      <c r="B27" s="30">
        <v>2</v>
      </c>
      <c r="C27" s="89">
        <f>Case7!C27</f>
        <v>0.04</v>
      </c>
      <c r="D27" s="3">
        <f t="shared" si="1"/>
        <v>0.06</v>
      </c>
      <c r="E27" s="89">
        <f>Case7!E27</f>
        <v>0.4</v>
      </c>
      <c r="F27" s="91">
        <f t="shared" si="2"/>
        <v>480</v>
      </c>
      <c r="G27" s="91">
        <f aca="true" t="shared" si="6" ref="G27:G45">G26</f>
        <v>948.9018000000002</v>
      </c>
      <c r="H27" s="91">
        <f t="shared" si="3"/>
        <v>0</v>
      </c>
      <c r="I27" s="91">
        <f t="shared" si="4"/>
        <v>6107.596890000001</v>
      </c>
      <c r="J27" s="92">
        <f t="shared" si="5"/>
        <v>0</v>
      </c>
    </row>
    <row r="28" spans="2:10" ht="12.75">
      <c r="B28" s="30">
        <v>3</v>
      </c>
      <c r="C28" s="89">
        <f>Case7!C28</f>
        <v>0.06</v>
      </c>
      <c r="D28" s="3">
        <f t="shared" si="1"/>
        <v>0.12</v>
      </c>
      <c r="E28" s="89">
        <f>Case7!E28</f>
        <v>0.45</v>
      </c>
      <c r="F28" s="91">
        <f t="shared" si="2"/>
        <v>540</v>
      </c>
      <c r="G28" s="91">
        <f t="shared" si="6"/>
        <v>948.9018000000002</v>
      </c>
      <c r="H28" s="91">
        <f t="shared" si="3"/>
        <v>0</v>
      </c>
      <c r="I28" s="91">
        <f t="shared" si="4"/>
        <v>6047.596890000001</v>
      </c>
      <c r="J28" s="92">
        <f t="shared" si="5"/>
        <v>0</v>
      </c>
    </row>
    <row r="29" spans="2:10" ht="12.75">
      <c r="B29" s="30">
        <v>4</v>
      </c>
      <c r="C29" s="89">
        <f>Case7!C29</f>
        <v>0.1</v>
      </c>
      <c r="D29" s="3">
        <f t="shared" si="1"/>
        <v>0.22</v>
      </c>
      <c r="E29" s="89">
        <f>Case7!E29</f>
        <v>0.5</v>
      </c>
      <c r="F29" s="91">
        <f t="shared" si="2"/>
        <v>600</v>
      </c>
      <c r="G29" s="91">
        <f t="shared" si="6"/>
        <v>948.9018000000002</v>
      </c>
      <c r="H29" s="91">
        <f t="shared" si="3"/>
        <v>0</v>
      </c>
      <c r="I29" s="91">
        <f t="shared" si="4"/>
        <v>5987.596890000001</v>
      </c>
      <c r="J29" s="92">
        <f t="shared" si="5"/>
        <v>0</v>
      </c>
    </row>
    <row r="30" spans="2:10" ht="12.75">
      <c r="B30" s="30">
        <v>5</v>
      </c>
      <c r="C30" s="89">
        <f>Case7!C30</f>
        <v>0.11</v>
      </c>
      <c r="D30" s="3">
        <f t="shared" si="1"/>
        <v>0.33</v>
      </c>
      <c r="E30" s="89">
        <f>Case7!E30</f>
        <v>0.55</v>
      </c>
      <c r="F30" s="91">
        <f t="shared" si="2"/>
        <v>660</v>
      </c>
      <c r="G30" s="91">
        <f t="shared" si="6"/>
        <v>948.9018000000002</v>
      </c>
      <c r="H30" s="91">
        <f t="shared" si="3"/>
        <v>0</v>
      </c>
      <c r="I30" s="91">
        <f t="shared" si="4"/>
        <v>5927.596890000001</v>
      </c>
      <c r="J30" s="92">
        <f t="shared" si="5"/>
        <v>0</v>
      </c>
    </row>
    <row r="31" spans="2:10" ht="12.75">
      <c r="B31" s="30">
        <v>6</v>
      </c>
      <c r="C31" s="89">
        <f>Case7!C31</f>
        <v>0.12</v>
      </c>
      <c r="D31" s="3">
        <f t="shared" si="1"/>
        <v>0.45</v>
      </c>
      <c r="E31" s="89">
        <f>Case7!E31</f>
        <v>0.6</v>
      </c>
      <c r="F31" s="91">
        <f t="shared" si="2"/>
        <v>720</v>
      </c>
      <c r="G31" s="91">
        <f t="shared" si="6"/>
        <v>948.9018000000002</v>
      </c>
      <c r="H31" s="91">
        <f t="shared" si="3"/>
        <v>0</v>
      </c>
      <c r="I31" s="91">
        <f t="shared" si="4"/>
        <v>5867.596890000001</v>
      </c>
      <c r="J31" s="92">
        <f t="shared" si="5"/>
        <v>0</v>
      </c>
    </row>
    <row r="32" spans="2:10" ht="12.75">
      <c r="B32" s="30">
        <v>7</v>
      </c>
      <c r="C32" s="89">
        <f>Case7!C32</f>
        <v>0.1</v>
      </c>
      <c r="D32" s="3">
        <f t="shared" si="1"/>
        <v>0.55</v>
      </c>
      <c r="E32" s="89">
        <f>Case7!E32</f>
        <v>0.65</v>
      </c>
      <c r="F32" s="91">
        <f t="shared" si="2"/>
        <v>780</v>
      </c>
      <c r="G32" s="91">
        <f t="shared" si="6"/>
        <v>948.9018000000002</v>
      </c>
      <c r="H32" s="91">
        <f t="shared" si="3"/>
        <v>0</v>
      </c>
      <c r="I32" s="91">
        <f t="shared" si="4"/>
        <v>5807.596890000001</v>
      </c>
      <c r="J32" s="92">
        <f t="shared" si="5"/>
        <v>0</v>
      </c>
    </row>
    <row r="33" spans="2:10" ht="12.75">
      <c r="B33" s="30">
        <v>8</v>
      </c>
      <c r="C33" s="89">
        <f>Case7!C33</f>
        <v>0.09</v>
      </c>
      <c r="D33" s="3">
        <f t="shared" si="1"/>
        <v>0.64</v>
      </c>
      <c r="E33" s="89">
        <f>Case7!E33</f>
        <v>0.7</v>
      </c>
      <c r="F33" s="91">
        <f t="shared" si="2"/>
        <v>840</v>
      </c>
      <c r="G33" s="91">
        <f t="shared" si="6"/>
        <v>948.9018000000002</v>
      </c>
      <c r="H33" s="91">
        <f t="shared" si="3"/>
        <v>0</v>
      </c>
      <c r="I33" s="91">
        <f t="shared" si="4"/>
        <v>5747.596890000001</v>
      </c>
      <c r="J33" s="92">
        <f t="shared" si="5"/>
        <v>0</v>
      </c>
    </row>
    <row r="34" spans="2:10" ht="12.75">
      <c r="B34" s="30">
        <v>9</v>
      </c>
      <c r="C34" s="89">
        <f>Case7!C34</f>
        <v>0.06</v>
      </c>
      <c r="D34" s="3">
        <f t="shared" si="1"/>
        <v>0.7</v>
      </c>
      <c r="E34" s="89">
        <f>Case7!E34</f>
        <v>0.75</v>
      </c>
      <c r="F34" s="91">
        <f t="shared" si="2"/>
        <v>900</v>
      </c>
      <c r="G34" s="91">
        <f t="shared" si="6"/>
        <v>948.9018000000002</v>
      </c>
      <c r="H34" s="91">
        <f t="shared" si="3"/>
        <v>0</v>
      </c>
      <c r="I34" s="91">
        <f t="shared" si="4"/>
        <v>5687.596890000001</v>
      </c>
      <c r="J34" s="92">
        <f t="shared" si="5"/>
        <v>0</v>
      </c>
    </row>
    <row r="35" spans="2:10" ht="12.75">
      <c r="B35" s="30">
        <v>10</v>
      </c>
      <c r="C35" s="89">
        <f>Case7!C35</f>
        <v>0.05</v>
      </c>
      <c r="D35" s="3">
        <f t="shared" si="1"/>
        <v>0.75</v>
      </c>
      <c r="E35" s="89">
        <f>Case7!E35</f>
        <v>0.8</v>
      </c>
      <c r="F35" s="91">
        <f t="shared" si="2"/>
        <v>960</v>
      </c>
      <c r="G35" s="91">
        <f t="shared" si="6"/>
        <v>948.9018000000002</v>
      </c>
      <c r="H35" s="91">
        <f t="shared" si="3"/>
        <v>11.098199999999792</v>
      </c>
      <c r="I35" s="91">
        <f t="shared" si="4"/>
        <v>5627.596890000001</v>
      </c>
      <c r="J35" s="92">
        <f t="shared" si="5"/>
        <v>0.0020841690140844683</v>
      </c>
    </row>
    <row r="36" spans="2:10" ht="12.75">
      <c r="B36" s="30">
        <v>11</v>
      </c>
      <c r="C36" s="89">
        <f>Case7!C36</f>
        <v>0.04</v>
      </c>
      <c r="D36" s="3">
        <f t="shared" si="1"/>
        <v>0.79</v>
      </c>
      <c r="E36" s="89">
        <f>Case7!E36</f>
        <v>0.85</v>
      </c>
      <c r="F36" s="91">
        <f t="shared" si="2"/>
        <v>1020</v>
      </c>
      <c r="G36" s="91">
        <f t="shared" si="6"/>
        <v>948.9018000000002</v>
      </c>
      <c r="H36" s="91">
        <f t="shared" si="3"/>
        <v>71.09819999999979</v>
      </c>
      <c r="I36" s="91">
        <f t="shared" si="4"/>
        <v>5567.596890000001</v>
      </c>
      <c r="J36" s="92">
        <f t="shared" si="5"/>
        <v>0.013351774647887286</v>
      </c>
    </row>
    <row r="37" spans="2:10" ht="12.75">
      <c r="B37" s="30">
        <v>12</v>
      </c>
      <c r="C37" s="89">
        <f>Case7!C37</f>
        <v>0.04</v>
      </c>
      <c r="D37" s="3">
        <f t="shared" si="1"/>
        <v>0.8300000000000001</v>
      </c>
      <c r="E37" s="89">
        <f>Case7!E37</f>
        <v>0.9</v>
      </c>
      <c r="F37" s="91">
        <f t="shared" si="2"/>
        <v>1080</v>
      </c>
      <c r="G37" s="91">
        <f t="shared" si="6"/>
        <v>948.9018000000002</v>
      </c>
      <c r="H37" s="91">
        <f t="shared" si="3"/>
        <v>131.0981999999998</v>
      </c>
      <c r="I37" s="91">
        <f t="shared" si="4"/>
        <v>5507.596890000001</v>
      </c>
      <c r="J37" s="92">
        <f t="shared" si="5"/>
        <v>0.0246193802816901</v>
      </c>
    </row>
    <row r="38" spans="2:10" ht="12.75">
      <c r="B38" s="30">
        <v>13</v>
      </c>
      <c r="C38" s="89">
        <f>Case7!C38</f>
        <v>0.03</v>
      </c>
      <c r="D38" s="3">
        <f t="shared" si="1"/>
        <v>0.8600000000000001</v>
      </c>
      <c r="E38" s="89">
        <f>Case7!E38</f>
        <v>1</v>
      </c>
      <c r="F38" s="91">
        <f t="shared" si="2"/>
        <v>1200</v>
      </c>
      <c r="G38" s="91">
        <f t="shared" si="6"/>
        <v>948.9018000000002</v>
      </c>
      <c r="H38" s="91">
        <f t="shared" si="3"/>
        <v>251.0981999999998</v>
      </c>
      <c r="I38" s="91">
        <f t="shared" si="4"/>
        <v>5387.596890000001</v>
      </c>
      <c r="J38" s="92">
        <f t="shared" si="5"/>
        <v>0.04715459154929574</v>
      </c>
    </row>
    <row r="39" spans="2:10" ht="12.75">
      <c r="B39" s="30">
        <v>14</v>
      </c>
      <c r="C39" s="89">
        <f>Case7!C39</f>
        <v>0.03</v>
      </c>
      <c r="D39" s="3">
        <f t="shared" si="1"/>
        <v>0.8900000000000001</v>
      </c>
      <c r="E39" s="89">
        <f>Case7!E39</f>
        <v>1.1</v>
      </c>
      <c r="F39" s="91">
        <f t="shared" si="2"/>
        <v>1320</v>
      </c>
      <c r="G39" s="91">
        <f t="shared" si="6"/>
        <v>948.9018000000002</v>
      </c>
      <c r="H39" s="91">
        <f t="shared" si="3"/>
        <v>371.0981999999998</v>
      </c>
      <c r="I39" s="91">
        <f t="shared" si="4"/>
        <v>5267.596890000001</v>
      </c>
      <c r="J39" s="92">
        <f t="shared" si="5"/>
        <v>0.06968980281690138</v>
      </c>
    </row>
    <row r="40" spans="2:10" ht="12.75">
      <c r="B40" s="30">
        <v>15</v>
      </c>
      <c r="C40" s="89">
        <f>Case7!C40</f>
        <v>0.03</v>
      </c>
      <c r="D40" s="3">
        <f t="shared" si="1"/>
        <v>0.9200000000000002</v>
      </c>
      <c r="E40" s="89">
        <f>Case7!E40</f>
        <v>1.2</v>
      </c>
      <c r="F40" s="91">
        <f t="shared" si="2"/>
        <v>1440</v>
      </c>
      <c r="G40" s="91">
        <f t="shared" si="6"/>
        <v>948.9018000000002</v>
      </c>
      <c r="H40" s="91">
        <f t="shared" si="3"/>
        <v>491.0981999999998</v>
      </c>
      <c r="I40" s="91">
        <f t="shared" si="4"/>
        <v>5147.596890000001</v>
      </c>
      <c r="J40" s="92">
        <f t="shared" si="5"/>
        <v>0.092225014084507</v>
      </c>
    </row>
    <row r="41" spans="2:10" ht="12.75">
      <c r="B41" s="30">
        <v>16</v>
      </c>
      <c r="C41" s="89">
        <f>Case7!C41</f>
        <v>0.02</v>
      </c>
      <c r="D41" s="3">
        <f t="shared" si="1"/>
        <v>0.9400000000000002</v>
      </c>
      <c r="E41" s="89">
        <f>Case7!E41</f>
        <v>1.3</v>
      </c>
      <c r="F41" s="91">
        <f t="shared" si="2"/>
        <v>1560</v>
      </c>
      <c r="G41" s="91">
        <f t="shared" si="6"/>
        <v>948.9018000000002</v>
      </c>
      <c r="H41" s="91">
        <f t="shared" si="3"/>
        <v>611.0981999999998</v>
      </c>
      <c r="I41" s="91">
        <f t="shared" si="4"/>
        <v>5027.596890000001</v>
      </c>
      <c r="J41" s="92">
        <f t="shared" si="5"/>
        <v>0.11476022535211264</v>
      </c>
    </row>
    <row r="42" spans="2:10" ht="12.75">
      <c r="B42" s="30">
        <v>17</v>
      </c>
      <c r="C42" s="89">
        <f>Case7!C42</f>
        <v>0.02</v>
      </c>
      <c r="D42" s="3">
        <f t="shared" si="1"/>
        <v>0.9600000000000002</v>
      </c>
      <c r="E42" s="89">
        <f>Case7!E42</f>
        <v>1.4</v>
      </c>
      <c r="F42" s="91">
        <f t="shared" si="2"/>
        <v>1680</v>
      </c>
      <c r="G42" s="91">
        <f t="shared" si="6"/>
        <v>948.9018000000002</v>
      </c>
      <c r="H42" s="91">
        <f t="shared" si="3"/>
        <v>731.0981999999998</v>
      </c>
      <c r="I42" s="91">
        <f t="shared" si="4"/>
        <v>4907.596890000001</v>
      </c>
      <c r="J42" s="92">
        <f t="shared" si="5"/>
        <v>0.13729543661971827</v>
      </c>
    </row>
    <row r="43" spans="2:10" ht="12.75">
      <c r="B43" s="30">
        <v>18</v>
      </c>
      <c r="C43" s="89">
        <f>Case7!C43</f>
        <v>0.02</v>
      </c>
      <c r="D43" s="3">
        <f t="shared" si="1"/>
        <v>0.9800000000000002</v>
      </c>
      <c r="E43" s="89">
        <f>Case7!E43</f>
        <v>1.5</v>
      </c>
      <c r="F43" s="91">
        <f t="shared" si="2"/>
        <v>1800</v>
      </c>
      <c r="G43" s="91">
        <f t="shared" si="6"/>
        <v>948.9018000000002</v>
      </c>
      <c r="H43" s="91">
        <f t="shared" si="3"/>
        <v>851.0981999999998</v>
      </c>
      <c r="I43" s="91">
        <f t="shared" si="4"/>
        <v>4787.596890000001</v>
      </c>
      <c r="J43" s="92">
        <f t="shared" si="5"/>
        <v>0.1598306478873239</v>
      </c>
    </row>
    <row r="44" spans="2:10" ht="12.75">
      <c r="B44" s="30">
        <v>19</v>
      </c>
      <c r="C44" s="89">
        <f>Case7!C44</f>
        <v>0.01</v>
      </c>
      <c r="D44" s="3">
        <f t="shared" si="1"/>
        <v>0.9900000000000002</v>
      </c>
      <c r="E44" s="89">
        <f>Case7!E44</f>
        <v>1.6</v>
      </c>
      <c r="F44" s="91">
        <f t="shared" si="2"/>
        <v>1920</v>
      </c>
      <c r="G44" s="91">
        <f t="shared" si="6"/>
        <v>948.9018000000002</v>
      </c>
      <c r="H44" s="91">
        <f t="shared" si="3"/>
        <v>971.0981999999998</v>
      </c>
      <c r="I44" s="91">
        <f t="shared" si="4"/>
        <v>4667.596890000001</v>
      </c>
      <c r="J44" s="92">
        <f t="shared" si="5"/>
        <v>0.18236585915492953</v>
      </c>
    </row>
    <row r="45" spans="2:10" ht="13.5" thickBot="1">
      <c r="B45" s="37">
        <v>20</v>
      </c>
      <c r="C45" s="90">
        <f>Case7!C45</f>
        <v>0.01</v>
      </c>
      <c r="D45" s="3">
        <f t="shared" si="1"/>
        <v>1.0000000000000002</v>
      </c>
      <c r="E45" s="90">
        <f>Case7!E45</f>
        <v>1.7</v>
      </c>
      <c r="F45" s="91">
        <f t="shared" si="2"/>
        <v>2040</v>
      </c>
      <c r="G45" s="91">
        <f t="shared" si="6"/>
        <v>948.9018000000002</v>
      </c>
      <c r="H45" s="91">
        <f t="shared" si="3"/>
        <v>1091.0982</v>
      </c>
      <c r="I45" s="91">
        <f t="shared" si="4"/>
        <v>4547.596890000001</v>
      </c>
      <c r="J45" s="92">
        <f t="shared" si="5"/>
        <v>0.2049010704225352</v>
      </c>
    </row>
    <row r="46" spans="1:9" ht="12.75">
      <c r="A46" s="37"/>
      <c r="B46" s="2"/>
      <c r="C46" s="3"/>
      <c r="D46" s="2"/>
      <c r="E46" s="4"/>
      <c r="F46" s="15"/>
      <c r="G46" s="4"/>
      <c r="H46" s="4"/>
      <c r="I46" s="7"/>
    </row>
    <row r="47" spans="1:12" ht="26.25">
      <c r="A47" s="43" t="str">
        <f>A1</f>
        <v>Exhibit 8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26.25">
      <c r="A48" s="45" t="str">
        <f>A2</f>
        <v>CASE 8 -- New Risk, More Skewed Distribution, In Yield and Loss Rate Balance</v>
      </c>
      <c r="B48" s="44"/>
      <c r="C48" s="44"/>
      <c r="D48" s="44"/>
      <c r="E48" s="44"/>
      <c r="F48" s="45"/>
      <c r="G48" s="44"/>
      <c r="H48" s="44"/>
      <c r="I48" s="44"/>
      <c r="J48" s="44"/>
      <c r="K48" s="44"/>
      <c r="L48" s="44"/>
    </row>
    <row r="49" spans="6:9" ht="13.5" thickBot="1">
      <c r="F49" s="5"/>
      <c r="I49" s="9"/>
    </row>
    <row r="50" spans="2:10" ht="20.25" thickBot="1" thickTop="1">
      <c r="B50" s="20"/>
      <c r="C50" s="21"/>
      <c r="D50" s="67"/>
      <c r="E50" s="67"/>
      <c r="F50" s="29" t="s">
        <v>23</v>
      </c>
      <c r="G50" s="67"/>
      <c r="H50" s="67"/>
      <c r="I50" s="67"/>
      <c r="J50" s="68"/>
    </row>
    <row r="51" spans="2:10" ht="13.5" thickBot="1">
      <c r="B51" s="69"/>
      <c r="C51" s="127" t="s">
        <v>67</v>
      </c>
      <c r="D51" s="128">
        <v>1</v>
      </c>
      <c r="E51" s="128">
        <v>2</v>
      </c>
      <c r="F51" s="128">
        <v>3</v>
      </c>
      <c r="G51" s="128">
        <v>4</v>
      </c>
      <c r="H51" s="128">
        <v>5</v>
      </c>
      <c r="I51" s="128">
        <v>6</v>
      </c>
      <c r="J51" s="129">
        <v>7</v>
      </c>
    </row>
    <row r="52" spans="2:11" ht="16.5" thickTop="1">
      <c r="B52" s="70" t="str">
        <f>"["&amp;TEXT(VALUE(MID(J18,2,LEN(J18)-2))+1,"#")&amp;"]"</f>
        <v>[24]</v>
      </c>
      <c r="C52" s="71" t="s">
        <v>0</v>
      </c>
      <c r="D52" s="11">
        <v>0.25</v>
      </c>
      <c r="E52" s="12">
        <v>0.25</v>
      </c>
      <c r="F52" s="12">
        <v>0.25</v>
      </c>
      <c r="G52" s="12">
        <v>0.25</v>
      </c>
      <c r="H52" s="12">
        <v>1</v>
      </c>
      <c r="I52" s="12">
        <v>2</v>
      </c>
      <c r="J52" s="75">
        <v>999.99</v>
      </c>
      <c r="K52" s="83" t="s">
        <v>41</v>
      </c>
    </row>
    <row r="53" spans="2:11" ht="16.5" thickBot="1">
      <c r="B53" s="65" t="str">
        <f>"["&amp;TEXT(VALUE(MID(B52,2,LEN(B52)-2))+1,"#")&amp;"]"</f>
        <v>[25]</v>
      </c>
      <c r="C53" s="72" t="s">
        <v>1</v>
      </c>
      <c r="D53" s="76">
        <v>0</v>
      </c>
      <c r="E53" s="73">
        <v>0.25</v>
      </c>
      <c r="F53" s="73">
        <v>0.5</v>
      </c>
      <c r="G53" s="73">
        <v>0.75</v>
      </c>
      <c r="H53" s="73">
        <v>1</v>
      </c>
      <c r="I53" s="73">
        <v>2</v>
      </c>
      <c r="J53" s="74">
        <v>4</v>
      </c>
      <c r="K53" s="86" t="s">
        <v>41</v>
      </c>
    </row>
    <row r="54" ht="13.5" thickTop="1"/>
    <row r="55" spans="2:10" s="103" customFormat="1" ht="15.75">
      <c r="B55" s="34" t="str">
        <f>B18</f>
        <v>[15]</v>
      </c>
      <c r="D55" s="34" t="str">
        <f>"["&amp;TEXT(VALUE(MID(B53,2,LEN(B53)-2))+1,"#")&amp;"]"</f>
        <v>[26]</v>
      </c>
      <c r="E55" s="34" t="str">
        <f aca="true" t="shared" si="7" ref="E55:J55">"["&amp;TEXT(VALUE(MID(D55,2,LEN(D55)-2))+1,"#")&amp;"]"</f>
        <v>[27]</v>
      </c>
      <c r="F55" s="34" t="str">
        <f t="shared" si="7"/>
        <v>[28]</v>
      </c>
      <c r="G55" s="34" t="str">
        <f t="shared" si="7"/>
        <v>[29]</v>
      </c>
      <c r="H55" s="34" t="str">
        <f t="shared" si="7"/>
        <v>[30]</v>
      </c>
      <c r="I55" s="34" t="str">
        <f t="shared" si="7"/>
        <v>[31]</v>
      </c>
      <c r="J55" s="34" t="str">
        <f t="shared" si="7"/>
        <v>[32]</v>
      </c>
    </row>
    <row r="56" ht="13.5" thickBot="1"/>
    <row r="57" spans="4:11" ht="13.5" thickTop="1">
      <c r="D57" s="10" t="s">
        <v>9</v>
      </c>
      <c r="E57" s="10" t="s">
        <v>10</v>
      </c>
      <c r="F57" s="10" t="s">
        <v>11</v>
      </c>
      <c r="G57" s="10" t="s">
        <v>12</v>
      </c>
      <c r="H57" s="10" t="s">
        <v>13</v>
      </c>
      <c r="I57" s="10" t="s">
        <v>14</v>
      </c>
      <c r="J57" s="10" t="s">
        <v>15</v>
      </c>
      <c r="K57" s="83" t="s">
        <v>44</v>
      </c>
    </row>
    <row r="58" spans="2:11" ht="12.75">
      <c r="B58" s="39" t="s">
        <v>68</v>
      </c>
      <c r="D58" s="10" t="s">
        <v>6</v>
      </c>
      <c r="E58" s="10" t="s">
        <v>6</v>
      </c>
      <c r="F58" s="10" t="s">
        <v>6</v>
      </c>
      <c r="G58" s="10" t="s">
        <v>6</v>
      </c>
      <c r="H58" s="10" t="s">
        <v>6</v>
      </c>
      <c r="I58" s="10" t="s">
        <v>6</v>
      </c>
      <c r="J58" s="10" t="s">
        <v>6</v>
      </c>
      <c r="K58" s="84" t="str">
        <f>"MAX( 0, MIN( "&amp;H18&amp;" -"</f>
        <v>MAX( 0, MIN( [21] -</v>
      </c>
    </row>
    <row r="59" spans="8:11" ht="13.5" thickBot="1">
      <c r="H59" s="6"/>
      <c r="I59" s="6"/>
      <c r="K59" s="81" t="str">
        <f>B53&amp;" * "&amp;E5&amp;", "&amp;B52&amp;" * "&amp;E5&amp;" ) )"</f>
        <v>[25] * [1], [24] * [1] ) )</v>
      </c>
    </row>
    <row r="60" spans="2:10" ht="13.5" thickTop="1">
      <c r="B60" s="30">
        <v>1</v>
      </c>
      <c r="D60" s="8">
        <f aca="true" t="shared" si="8" ref="D60:J69">MAX(0,MIN($H26-D$53*$H$5,D$52*$H$5))</f>
        <v>0</v>
      </c>
      <c r="E60" s="8">
        <f t="shared" si="8"/>
        <v>0</v>
      </c>
      <c r="F60" s="8">
        <f t="shared" si="8"/>
        <v>0</v>
      </c>
      <c r="G60" s="8">
        <f t="shared" si="8"/>
        <v>0</v>
      </c>
      <c r="H60" s="8">
        <f t="shared" si="8"/>
        <v>0</v>
      </c>
      <c r="I60" s="8">
        <f t="shared" si="8"/>
        <v>0</v>
      </c>
      <c r="J60" s="8">
        <f t="shared" si="8"/>
        <v>0</v>
      </c>
    </row>
    <row r="61" spans="2:10" ht="12.75">
      <c r="B61" s="30">
        <v>2</v>
      </c>
      <c r="D61" s="8">
        <f t="shared" si="8"/>
        <v>0</v>
      </c>
      <c r="E61" s="8">
        <f t="shared" si="8"/>
        <v>0</v>
      </c>
      <c r="F61" s="8">
        <f t="shared" si="8"/>
        <v>0</v>
      </c>
      <c r="G61" s="8">
        <f t="shared" si="8"/>
        <v>0</v>
      </c>
      <c r="H61" s="8">
        <f t="shared" si="8"/>
        <v>0</v>
      </c>
      <c r="I61" s="8">
        <f t="shared" si="8"/>
        <v>0</v>
      </c>
      <c r="J61" s="8">
        <f t="shared" si="8"/>
        <v>0</v>
      </c>
    </row>
    <row r="62" spans="2:11" ht="12.75">
      <c r="B62" s="30">
        <v>3</v>
      </c>
      <c r="D62" s="8">
        <f t="shared" si="8"/>
        <v>0</v>
      </c>
      <c r="E62" s="8">
        <f t="shared" si="8"/>
        <v>0</v>
      </c>
      <c r="F62" s="8">
        <f t="shared" si="8"/>
        <v>0</v>
      </c>
      <c r="G62" s="8">
        <f t="shared" si="8"/>
        <v>0</v>
      </c>
      <c r="H62" s="8">
        <f t="shared" si="8"/>
        <v>0</v>
      </c>
      <c r="I62" s="8">
        <f t="shared" si="8"/>
        <v>0</v>
      </c>
      <c r="J62" s="8">
        <f t="shared" si="8"/>
        <v>0</v>
      </c>
      <c r="K62" s="40"/>
    </row>
    <row r="63" spans="2:10" ht="12.75">
      <c r="B63" s="30">
        <v>4</v>
      </c>
      <c r="D63" s="8">
        <f t="shared" si="8"/>
        <v>0</v>
      </c>
      <c r="E63" s="8">
        <f t="shared" si="8"/>
        <v>0</v>
      </c>
      <c r="F63" s="8">
        <f t="shared" si="8"/>
        <v>0</v>
      </c>
      <c r="G63" s="8">
        <f t="shared" si="8"/>
        <v>0</v>
      </c>
      <c r="H63" s="8">
        <f t="shared" si="8"/>
        <v>0</v>
      </c>
      <c r="I63" s="8">
        <f t="shared" si="8"/>
        <v>0</v>
      </c>
      <c r="J63" s="8">
        <f t="shared" si="8"/>
        <v>0</v>
      </c>
    </row>
    <row r="64" spans="2:10" ht="12.75">
      <c r="B64" s="30">
        <v>5</v>
      </c>
      <c r="D64" s="8">
        <f t="shared" si="8"/>
        <v>0</v>
      </c>
      <c r="E64" s="8">
        <f t="shared" si="8"/>
        <v>0</v>
      </c>
      <c r="F64" s="8">
        <f t="shared" si="8"/>
        <v>0</v>
      </c>
      <c r="G64" s="8">
        <f t="shared" si="8"/>
        <v>0</v>
      </c>
      <c r="H64" s="8">
        <f t="shared" si="8"/>
        <v>0</v>
      </c>
      <c r="I64" s="8">
        <f t="shared" si="8"/>
        <v>0</v>
      </c>
      <c r="J64" s="8">
        <f t="shared" si="8"/>
        <v>0</v>
      </c>
    </row>
    <row r="65" spans="2:10" ht="12.75">
      <c r="B65" s="30">
        <v>6</v>
      </c>
      <c r="D65" s="8">
        <f t="shared" si="8"/>
        <v>0</v>
      </c>
      <c r="E65" s="8">
        <f t="shared" si="8"/>
        <v>0</v>
      </c>
      <c r="F65" s="8">
        <f t="shared" si="8"/>
        <v>0</v>
      </c>
      <c r="G65" s="8">
        <f t="shared" si="8"/>
        <v>0</v>
      </c>
      <c r="H65" s="8">
        <f t="shared" si="8"/>
        <v>0</v>
      </c>
      <c r="I65" s="8">
        <f t="shared" si="8"/>
        <v>0</v>
      </c>
      <c r="J65" s="8">
        <f t="shared" si="8"/>
        <v>0</v>
      </c>
    </row>
    <row r="66" spans="2:10" ht="12.75">
      <c r="B66" s="30">
        <v>7</v>
      </c>
      <c r="D66" s="8">
        <f t="shared" si="8"/>
        <v>0</v>
      </c>
      <c r="E66" s="8">
        <f t="shared" si="8"/>
        <v>0</v>
      </c>
      <c r="F66" s="8">
        <f t="shared" si="8"/>
        <v>0</v>
      </c>
      <c r="G66" s="8">
        <f t="shared" si="8"/>
        <v>0</v>
      </c>
      <c r="H66" s="8">
        <f t="shared" si="8"/>
        <v>0</v>
      </c>
      <c r="I66" s="8">
        <f t="shared" si="8"/>
        <v>0</v>
      </c>
      <c r="J66" s="8">
        <f t="shared" si="8"/>
        <v>0</v>
      </c>
    </row>
    <row r="67" spans="2:10" ht="12.75">
      <c r="B67" s="30">
        <v>8</v>
      </c>
      <c r="D67" s="8">
        <f t="shared" si="8"/>
        <v>0</v>
      </c>
      <c r="E67" s="8">
        <f t="shared" si="8"/>
        <v>0</v>
      </c>
      <c r="F67" s="8">
        <f t="shared" si="8"/>
        <v>0</v>
      </c>
      <c r="G67" s="8">
        <f t="shared" si="8"/>
        <v>0</v>
      </c>
      <c r="H67" s="8">
        <f t="shared" si="8"/>
        <v>0</v>
      </c>
      <c r="I67" s="8">
        <f t="shared" si="8"/>
        <v>0</v>
      </c>
      <c r="J67" s="8">
        <f t="shared" si="8"/>
        <v>0</v>
      </c>
    </row>
    <row r="68" spans="2:10" ht="12.75">
      <c r="B68" s="30">
        <v>9</v>
      </c>
      <c r="D68" s="8">
        <f t="shared" si="8"/>
        <v>0</v>
      </c>
      <c r="E68" s="8">
        <f t="shared" si="8"/>
        <v>0</v>
      </c>
      <c r="F68" s="8">
        <f t="shared" si="8"/>
        <v>0</v>
      </c>
      <c r="G68" s="8">
        <f t="shared" si="8"/>
        <v>0</v>
      </c>
      <c r="H68" s="8">
        <f t="shared" si="8"/>
        <v>0</v>
      </c>
      <c r="I68" s="8">
        <f t="shared" si="8"/>
        <v>0</v>
      </c>
      <c r="J68" s="8">
        <f t="shared" si="8"/>
        <v>0</v>
      </c>
    </row>
    <row r="69" spans="2:10" ht="12.75">
      <c r="B69" s="30">
        <v>10</v>
      </c>
      <c r="D69" s="8">
        <f t="shared" si="8"/>
        <v>11.098199999999792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</row>
    <row r="70" spans="2:10" ht="12.75">
      <c r="B70" s="30">
        <v>11</v>
      </c>
      <c r="D70" s="8">
        <f aca="true" t="shared" si="9" ref="D70:J79">MAX(0,MIN($H36-D$53*$H$5,D$52*$H$5))</f>
        <v>71.09819999999979</v>
      </c>
      <c r="E70" s="8">
        <f t="shared" si="9"/>
        <v>0</v>
      </c>
      <c r="F70" s="8">
        <f t="shared" si="9"/>
        <v>0</v>
      </c>
      <c r="G70" s="8">
        <f t="shared" si="9"/>
        <v>0</v>
      </c>
      <c r="H70" s="8">
        <f t="shared" si="9"/>
        <v>0</v>
      </c>
      <c r="I70" s="8">
        <f t="shared" si="9"/>
        <v>0</v>
      </c>
      <c r="J70" s="8">
        <f t="shared" si="9"/>
        <v>0</v>
      </c>
    </row>
    <row r="71" spans="2:10" ht="12.75">
      <c r="B71" s="30">
        <v>12</v>
      </c>
      <c r="D71" s="8">
        <f t="shared" si="9"/>
        <v>131.0981999999998</v>
      </c>
      <c r="E71" s="8">
        <f t="shared" si="9"/>
        <v>0</v>
      </c>
      <c r="F71" s="8">
        <f t="shared" si="9"/>
        <v>0</v>
      </c>
      <c r="G71" s="8">
        <f t="shared" si="9"/>
        <v>0</v>
      </c>
      <c r="H71" s="8">
        <f t="shared" si="9"/>
        <v>0</v>
      </c>
      <c r="I71" s="8">
        <f t="shared" si="9"/>
        <v>0</v>
      </c>
      <c r="J71" s="8">
        <f t="shared" si="9"/>
        <v>0</v>
      </c>
    </row>
    <row r="72" spans="2:10" ht="12.75">
      <c r="B72" s="30">
        <v>13</v>
      </c>
      <c r="D72" s="8">
        <f t="shared" si="9"/>
        <v>251.0981999999998</v>
      </c>
      <c r="E72" s="8">
        <f t="shared" si="9"/>
        <v>0</v>
      </c>
      <c r="F72" s="8">
        <f t="shared" si="9"/>
        <v>0</v>
      </c>
      <c r="G72" s="8">
        <f t="shared" si="9"/>
        <v>0</v>
      </c>
      <c r="H72" s="8">
        <f t="shared" si="9"/>
        <v>0</v>
      </c>
      <c r="I72" s="8">
        <f t="shared" si="9"/>
        <v>0</v>
      </c>
      <c r="J72" s="8">
        <f t="shared" si="9"/>
        <v>0</v>
      </c>
    </row>
    <row r="73" spans="2:10" ht="12.75">
      <c r="B73" s="30">
        <v>14</v>
      </c>
      <c r="D73" s="8">
        <f t="shared" si="9"/>
        <v>371.0981999999998</v>
      </c>
      <c r="E73" s="8">
        <f t="shared" si="9"/>
        <v>0</v>
      </c>
      <c r="F73" s="8">
        <f t="shared" si="9"/>
        <v>0</v>
      </c>
      <c r="G73" s="8">
        <f t="shared" si="9"/>
        <v>0</v>
      </c>
      <c r="H73" s="8">
        <f t="shared" si="9"/>
        <v>0</v>
      </c>
      <c r="I73" s="8">
        <f t="shared" si="9"/>
        <v>0</v>
      </c>
      <c r="J73" s="8">
        <f t="shared" si="9"/>
        <v>0</v>
      </c>
    </row>
    <row r="74" spans="2:10" ht="12.75">
      <c r="B74" s="30">
        <v>15</v>
      </c>
      <c r="D74" s="8">
        <f t="shared" si="9"/>
        <v>491.0981999999998</v>
      </c>
      <c r="E74" s="8">
        <f t="shared" si="9"/>
        <v>0</v>
      </c>
      <c r="F74" s="8">
        <f t="shared" si="9"/>
        <v>0</v>
      </c>
      <c r="G74" s="8">
        <f t="shared" si="9"/>
        <v>0</v>
      </c>
      <c r="H74" s="8">
        <f t="shared" si="9"/>
        <v>0</v>
      </c>
      <c r="I74" s="8">
        <f t="shared" si="9"/>
        <v>0</v>
      </c>
      <c r="J74" s="8">
        <f t="shared" si="9"/>
        <v>0</v>
      </c>
    </row>
    <row r="75" spans="2:10" ht="12.75">
      <c r="B75" s="30">
        <v>16</v>
      </c>
      <c r="D75" s="8">
        <f t="shared" si="9"/>
        <v>611.0981999999998</v>
      </c>
      <c r="E75" s="8">
        <f t="shared" si="9"/>
        <v>0</v>
      </c>
      <c r="F75" s="8">
        <f t="shared" si="9"/>
        <v>0</v>
      </c>
      <c r="G75" s="8">
        <f t="shared" si="9"/>
        <v>0</v>
      </c>
      <c r="H75" s="8">
        <f t="shared" si="9"/>
        <v>0</v>
      </c>
      <c r="I75" s="8">
        <f t="shared" si="9"/>
        <v>0</v>
      </c>
      <c r="J75" s="8">
        <f t="shared" si="9"/>
        <v>0</v>
      </c>
    </row>
    <row r="76" spans="2:10" ht="12.75">
      <c r="B76" s="30">
        <v>17</v>
      </c>
      <c r="D76" s="8">
        <f t="shared" si="9"/>
        <v>731.0981999999998</v>
      </c>
      <c r="E76" s="8">
        <f t="shared" si="9"/>
        <v>0</v>
      </c>
      <c r="F76" s="8">
        <f t="shared" si="9"/>
        <v>0</v>
      </c>
      <c r="G76" s="8">
        <f t="shared" si="9"/>
        <v>0</v>
      </c>
      <c r="H76" s="8">
        <f t="shared" si="9"/>
        <v>0</v>
      </c>
      <c r="I76" s="8">
        <f t="shared" si="9"/>
        <v>0</v>
      </c>
      <c r="J76" s="8">
        <f t="shared" si="9"/>
        <v>0</v>
      </c>
    </row>
    <row r="77" spans="2:10" ht="12.75">
      <c r="B77" s="30">
        <v>18</v>
      </c>
      <c r="D77" s="8">
        <f t="shared" si="9"/>
        <v>851.0981999999998</v>
      </c>
      <c r="E77" s="8">
        <f t="shared" si="9"/>
        <v>0</v>
      </c>
      <c r="F77" s="8">
        <f t="shared" si="9"/>
        <v>0</v>
      </c>
      <c r="G77" s="8">
        <f t="shared" si="9"/>
        <v>0</v>
      </c>
      <c r="H77" s="8">
        <f t="shared" si="9"/>
        <v>0</v>
      </c>
      <c r="I77" s="8">
        <f t="shared" si="9"/>
        <v>0</v>
      </c>
      <c r="J77" s="8">
        <f t="shared" si="9"/>
        <v>0</v>
      </c>
    </row>
    <row r="78" spans="2:10" ht="12.75">
      <c r="B78" s="30">
        <v>19</v>
      </c>
      <c r="D78" s="8">
        <f t="shared" si="9"/>
        <v>971.0981999999998</v>
      </c>
      <c r="E78" s="8">
        <f t="shared" si="9"/>
        <v>0</v>
      </c>
      <c r="F78" s="8">
        <f t="shared" si="9"/>
        <v>0</v>
      </c>
      <c r="G78" s="8">
        <f t="shared" si="9"/>
        <v>0</v>
      </c>
      <c r="H78" s="8">
        <f t="shared" si="9"/>
        <v>0</v>
      </c>
      <c r="I78" s="8">
        <f t="shared" si="9"/>
        <v>0</v>
      </c>
      <c r="J78" s="8">
        <f t="shared" si="9"/>
        <v>0</v>
      </c>
    </row>
    <row r="79" spans="2:10" ht="12.75">
      <c r="B79" s="37">
        <v>20</v>
      </c>
      <c r="D79" s="8">
        <f t="shared" si="9"/>
        <v>1091.0982</v>
      </c>
      <c r="E79" s="8">
        <f t="shared" si="9"/>
        <v>0</v>
      </c>
      <c r="F79" s="8">
        <f t="shared" si="9"/>
        <v>0</v>
      </c>
      <c r="G79" s="8">
        <f t="shared" si="9"/>
        <v>0</v>
      </c>
      <c r="H79" s="8">
        <f t="shared" si="9"/>
        <v>0</v>
      </c>
      <c r="I79" s="8">
        <f t="shared" si="9"/>
        <v>0</v>
      </c>
      <c r="J79" s="8">
        <f t="shared" si="9"/>
        <v>0</v>
      </c>
    </row>
    <row r="80" spans="4:10" ht="12.75">
      <c r="D80" s="8"/>
      <c r="E80" s="8"/>
      <c r="F80" s="8"/>
      <c r="G80" s="8"/>
      <c r="H80" s="8"/>
      <c r="I80" s="8"/>
      <c r="J80" s="8"/>
    </row>
    <row r="81" ht="13.5" thickBot="1"/>
    <row r="82" spans="1:11" ht="16.5" thickTop="1">
      <c r="A82" s="77" t="str">
        <f>"["&amp;TEXT(VALUE(MID(J55,2,LEN(J55)-2))+1,"#")&amp;"]"</f>
        <v>[33]</v>
      </c>
      <c r="B82" s="60" t="s">
        <v>40</v>
      </c>
      <c r="C82" s="21"/>
      <c r="D82" s="93">
        <f aca="true" t="shared" si="10" ref="D82:J82">SUMPRODUCT($C26:$C45,D60:D79)</f>
        <v>106.52945999999994</v>
      </c>
      <c r="E82" s="93">
        <f t="shared" si="10"/>
        <v>0</v>
      </c>
      <c r="F82" s="93">
        <f t="shared" si="10"/>
        <v>0</v>
      </c>
      <c r="G82" s="93">
        <f t="shared" si="10"/>
        <v>0</v>
      </c>
      <c r="H82" s="93">
        <f t="shared" si="10"/>
        <v>0</v>
      </c>
      <c r="I82" s="93">
        <f t="shared" si="10"/>
        <v>0</v>
      </c>
      <c r="J82" s="94">
        <f t="shared" si="10"/>
        <v>0</v>
      </c>
      <c r="K82" s="49" t="s">
        <v>66</v>
      </c>
    </row>
    <row r="83" spans="1:11" ht="16.5" thickBot="1">
      <c r="A83" s="61" t="str">
        <f>"["&amp;TEXT(VALUE(MID(A82,2,LEN(A82)-2))+1,"#")&amp;"]"</f>
        <v>[34]</v>
      </c>
      <c r="B83" s="62" t="s">
        <v>25</v>
      </c>
      <c r="C83" s="22"/>
      <c r="D83" s="95">
        <f aca="true" t="shared" si="11" ref="D83:J83">D$82/$H$5/D$52</f>
        <v>0.08002212957746474</v>
      </c>
      <c r="E83" s="95">
        <f t="shared" si="11"/>
        <v>0</v>
      </c>
      <c r="F83" s="95">
        <f t="shared" si="11"/>
        <v>0</v>
      </c>
      <c r="G83" s="95">
        <f t="shared" si="11"/>
        <v>0</v>
      </c>
      <c r="H83" s="95">
        <f t="shared" si="11"/>
        <v>0</v>
      </c>
      <c r="I83" s="95">
        <f t="shared" si="11"/>
        <v>0</v>
      </c>
      <c r="J83" s="96">
        <f t="shared" si="11"/>
        <v>0</v>
      </c>
      <c r="K83" s="50" t="str">
        <f>"="&amp;A82&amp;" / "&amp;E5&amp;" / "&amp;B52</f>
        <v>=[33] / [1] / [24]</v>
      </c>
    </row>
    <row r="84" spans="1:11" ht="15.75">
      <c r="A84" s="61" t="str">
        <f>"["&amp;TEXT(VALUE(MID(A83,2,LEN(A83)-2))+1,"#")&amp;"]"</f>
        <v>[35]</v>
      </c>
      <c r="B84" s="63" t="s">
        <v>26</v>
      </c>
      <c r="C84" s="22"/>
      <c r="D84" s="18">
        <v>0.1</v>
      </c>
      <c r="E84" s="19">
        <v>0.25</v>
      </c>
      <c r="F84" s="19">
        <v>0.5</v>
      </c>
      <c r="G84" s="19">
        <v>0.75</v>
      </c>
      <c r="H84" s="19">
        <v>1</v>
      </c>
      <c r="I84" s="19">
        <v>2</v>
      </c>
      <c r="J84" s="78">
        <v>4</v>
      </c>
      <c r="K84" s="80" t="s">
        <v>41</v>
      </c>
    </row>
    <row r="85" spans="1:11" ht="16.5" thickBot="1">
      <c r="A85" s="61" t="str">
        <f>"["&amp;TEXT(VALUE(MID(A84,2,LEN(A84)-2))+1,"#")&amp;"]"</f>
        <v>[36]</v>
      </c>
      <c r="B85" s="63" t="s">
        <v>27</v>
      </c>
      <c r="C85" s="22"/>
      <c r="D85" s="16">
        <v>0.001</v>
      </c>
      <c r="E85" s="17">
        <v>0.001</v>
      </c>
      <c r="F85" s="17">
        <v>0.001</v>
      </c>
      <c r="G85" s="17">
        <v>0.001</v>
      </c>
      <c r="H85" s="17">
        <v>0.001</v>
      </c>
      <c r="I85" s="17">
        <v>0.001</v>
      </c>
      <c r="J85" s="79">
        <v>0.001</v>
      </c>
      <c r="K85" s="80" t="s">
        <v>41</v>
      </c>
    </row>
    <row r="86" spans="1:11" ht="15.75">
      <c r="A86" s="61" t="str">
        <f>"["&amp;TEXT(VALUE(MID(A85,2,LEN(A85)-2))+1,"#")&amp;"]"</f>
        <v>[37]</v>
      </c>
      <c r="B86" s="64" t="s">
        <v>34</v>
      </c>
      <c r="C86" s="22"/>
      <c r="D86" s="95">
        <f aca="true" t="shared" si="12" ref="D86:J86">IF(D83&gt;0,D85+(1+D84)*D83,0)</f>
        <v>0.08902434253521123</v>
      </c>
      <c r="E86" s="95">
        <f t="shared" si="12"/>
        <v>0</v>
      </c>
      <c r="F86" s="95">
        <f t="shared" si="12"/>
        <v>0</v>
      </c>
      <c r="G86" s="95">
        <f t="shared" si="12"/>
        <v>0</v>
      </c>
      <c r="H86" s="95">
        <f t="shared" si="12"/>
        <v>0</v>
      </c>
      <c r="I86" s="95">
        <f t="shared" si="12"/>
        <v>0</v>
      </c>
      <c r="J86" s="96">
        <f t="shared" si="12"/>
        <v>0</v>
      </c>
      <c r="K86" s="50" t="str">
        <f>"="&amp;A83&amp;" *(1+"&amp;A84&amp;" ) + "&amp;A85</f>
        <v>=[34] *(1+[35] ) + [36]</v>
      </c>
    </row>
    <row r="87" spans="1:11" ht="16.5" thickBot="1">
      <c r="A87" s="65" t="str">
        <f>"["&amp;TEXT(VALUE(MID(A86,2,LEN(A86)-2))+1,"#")&amp;"]"</f>
        <v>[38]</v>
      </c>
      <c r="B87" s="66" t="s">
        <v>7</v>
      </c>
      <c r="C87" s="25"/>
      <c r="D87" s="97">
        <f aca="true" t="shared" si="13" ref="D87:J87">D86*D52*$H5</f>
        <v>118.51365599999995</v>
      </c>
      <c r="E87" s="97">
        <f t="shared" si="13"/>
        <v>0</v>
      </c>
      <c r="F87" s="97">
        <f t="shared" si="13"/>
        <v>0</v>
      </c>
      <c r="G87" s="97">
        <f t="shared" si="13"/>
        <v>0</v>
      </c>
      <c r="H87" s="97">
        <f t="shared" si="13"/>
        <v>0</v>
      </c>
      <c r="I87" s="97">
        <f t="shared" si="13"/>
        <v>0</v>
      </c>
      <c r="J87" s="98">
        <f t="shared" si="13"/>
        <v>0</v>
      </c>
      <c r="K87" s="81" t="str">
        <f>"="&amp;A86&amp;" * "&amp;E5&amp;" * "&amp;B52</f>
        <v>=[37] * [1] * [24]</v>
      </c>
    </row>
    <row r="88" ht="16.5" thickTop="1">
      <c r="A88" s="33"/>
    </row>
  </sheetData>
  <printOptions horizontalCentered="1" verticalCentered="1"/>
  <pageMargins left="0.75" right="0.75" top="0.49" bottom="0.5" header="0.5" footer="0.5"/>
  <pageSetup fitToHeight="2" fitToWidth="1" horizontalDpi="300" verticalDpi="300" orientation="landscape" scale="77" r:id="rId1"/>
  <headerFooter alignWithMargins="0">
    <oddHeader>&amp;R&amp;"Arial,Bold Italic"&amp;14Page &amp;P of &amp;N</oddHeader>
  </headerFooter>
  <rowBreaks count="2" manualBreakCount="2">
    <brk id="48" max="10" man="1"/>
    <brk id="49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11112">
    <pageSetUpPr fitToPage="1"/>
  </sheetPr>
  <dimension ref="A1:L8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13.421875" style="0" customWidth="1"/>
    <col min="3" max="4" width="13.00390625" style="0" customWidth="1"/>
    <col min="5" max="5" width="13.28125" style="0" customWidth="1"/>
    <col min="6" max="6" width="15.7109375" style="0" customWidth="1"/>
    <col min="7" max="7" width="13.8515625" style="0" customWidth="1"/>
    <col min="8" max="8" width="12.140625" style="0" customWidth="1"/>
    <col min="9" max="9" width="15.421875" style="0" customWidth="1"/>
    <col min="10" max="10" width="17.421875" style="0" customWidth="1"/>
    <col min="11" max="11" width="19.8515625" style="0" customWidth="1"/>
    <col min="12" max="12" width="14.140625" style="0" customWidth="1"/>
    <col min="13" max="16" width="11.421875" style="0" customWidth="1"/>
    <col min="17" max="17" width="11.7109375" style="0" customWidth="1"/>
  </cols>
  <sheetData>
    <row r="1" spans="1:12" ht="26.25">
      <c r="A1" s="43" t="s">
        <v>61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6.25">
      <c r="A2" s="45" t="s">
        <v>74</v>
      </c>
      <c r="B2" s="44"/>
      <c r="C2" s="44"/>
      <c r="D2" s="44"/>
      <c r="E2" s="44"/>
      <c r="F2" s="45"/>
      <c r="G2" s="44"/>
      <c r="H2" s="44"/>
      <c r="I2" s="44"/>
      <c r="J2" s="44"/>
      <c r="K2" s="44"/>
      <c r="L2" s="44"/>
    </row>
    <row r="3" ht="13.5" thickBot="1">
      <c r="A3" s="1"/>
    </row>
    <row r="4" spans="1:11" ht="20.25" thickBot="1" thickTop="1">
      <c r="A4" s="1"/>
      <c r="E4" s="52"/>
      <c r="F4" s="55"/>
      <c r="G4" s="55" t="s">
        <v>32</v>
      </c>
      <c r="H4" s="54"/>
      <c r="I4" s="59"/>
      <c r="J4" s="119" t="s">
        <v>51</v>
      </c>
      <c r="K4" s="22"/>
    </row>
    <row r="5" spans="1:12" ht="17.25" thickBot="1" thickTop="1">
      <c r="A5" s="1"/>
      <c r="E5" s="106" t="s">
        <v>31</v>
      </c>
      <c r="F5" s="111" t="s">
        <v>75</v>
      </c>
      <c r="G5" s="115"/>
      <c r="H5" s="116">
        <f>Case1!H5</f>
        <v>3600</v>
      </c>
      <c r="I5" s="83" t="s">
        <v>41</v>
      </c>
      <c r="J5" s="120">
        <f>H5-Case1!H5</f>
        <v>0</v>
      </c>
      <c r="L5" s="40"/>
    </row>
    <row r="6" spans="1:10" ht="16.5" thickBot="1">
      <c r="A6" s="1"/>
      <c r="E6" s="106" t="str">
        <f>"["&amp;TEXT(VALUE(MID(E5,2,LEN(E5)-2))+1,"#")&amp;"]"</f>
        <v>[2]</v>
      </c>
      <c r="F6" s="110" t="s">
        <v>18</v>
      </c>
      <c r="G6" s="115"/>
      <c r="H6" s="118">
        <v>0.0454</v>
      </c>
      <c r="I6" s="87" t="s">
        <v>41</v>
      </c>
      <c r="J6" s="121">
        <f>(E11-Case1!E11)/(Case9!E12-Case1!E12)</f>
        <v>-0.059632618825722385</v>
      </c>
    </row>
    <row r="7" spans="1:9" ht="16.5" thickBot="1">
      <c r="A7" s="1"/>
      <c r="E7" s="35" t="str">
        <f>"["&amp;TEXT(VALUE(MID(E6,2,LEN(E6)-2))+1,"#")&amp;"]"</f>
        <v>[3]</v>
      </c>
      <c r="F7" s="22" t="s">
        <v>21</v>
      </c>
      <c r="G7" s="124"/>
      <c r="H7" s="125">
        <v>1200</v>
      </c>
      <c r="I7" s="87" t="s">
        <v>41</v>
      </c>
    </row>
    <row r="8" spans="1:9" ht="16.5" thickBot="1">
      <c r="A8" s="1"/>
      <c r="E8" s="36" t="str">
        <f>"["&amp;TEXT(VALUE(MID(E7,2,LEN(E7)-2))+1,"#")&amp;"]"</f>
        <v>[4]</v>
      </c>
      <c r="F8" s="25" t="s">
        <v>64</v>
      </c>
      <c r="G8" s="26"/>
      <c r="H8" s="126">
        <v>0.05</v>
      </c>
      <c r="I8" s="86" t="s">
        <v>41</v>
      </c>
    </row>
    <row r="9" spans="1:11" ht="17.25" thickBot="1" thickTop="1">
      <c r="A9" s="1"/>
      <c r="C9" s="41"/>
      <c r="D9" s="22"/>
      <c r="E9" s="13"/>
      <c r="F9" s="13"/>
      <c r="H9" s="41"/>
      <c r="I9" s="28"/>
      <c r="J9" s="22"/>
      <c r="K9" s="32"/>
    </row>
    <row r="10" spans="1:11" ht="20.25" thickBot="1" thickTop="1">
      <c r="A10" s="1"/>
      <c r="B10" s="52"/>
      <c r="C10" s="53"/>
      <c r="D10" s="54"/>
      <c r="E10" s="21"/>
      <c r="F10" s="55"/>
      <c r="G10" s="55" t="s">
        <v>33</v>
      </c>
      <c r="H10" s="53"/>
      <c r="I10" s="56"/>
      <c r="J10" s="54"/>
      <c r="K10" s="57"/>
    </row>
    <row r="11" spans="1:11" ht="16.5" thickTop="1">
      <c r="A11" s="1"/>
      <c r="B11" s="46" t="str">
        <f>"["&amp;TEXT(VALUE(MID(E8,2,LEN(E8)-2))+1,"#")&amp;"]"</f>
        <v>[5]</v>
      </c>
      <c r="C11" s="47" t="s">
        <v>19</v>
      </c>
      <c r="D11" s="48"/>
      <c r="E11" s="99">
        <f>H6*E12</f>
        <v>36.651419999999995</v>
      </c>
      <c r="F11" s="49" t="str">
        <f>"="&amp;E6&amp;" * "&amp;B12</f>
        <v>=[2] * [6]</v>
      </c>
      <c r="G11" s="46" t="str">
        <f>"["&amp;TEXT(VALUE(MID(B15,2,LEN(B15)-2))+1,"#")&amp;"]"</f>
        <v>[10]</v>
      </c>
      <c r="H11" s="21" t="s">
        <v>39</v>
      </c>
      <c r="I11" s="21"/>
      <c r="J11" s="93">
        <f>SUMPRODUCT($C26:$C45,I26:I45)</f>
        <v>3858.848991</v>
      </c>
      <c r="K11" s="49" t="str">
        <f>"=E{ "&amp;I18&amp;" }"</f>
        <v>=E{ [22] }</v>
      </c>
    </row>
    <row r="12" spans="1:11" ht="15.75">
      <c r="A12" s="1"/>
      <c r="B12" s="35" t="str">
        <f>"["&amp;TEXT(VALUE(MID(B11,2,LEN(B11)-2))+1,"#")&amp;"]"</f>
        <v>[6]</v>
      </c>
      <c r="C12" s="28" t="s">
        <v>37</v>
      </c>
      <c r="D12" s="22"/>
      <c r="E12" s="14">
        <f>SUMPRODUCT($C26:$C45,F26:F45)</f>
        <v>807.2999999999998</v>
      </c>
      <c r="F12" s="50" t="str">
        <f>"=E{ "&amp;F18&amp;" }"</f>
        <v>=E{ [19] }</v>
      </c>
      <c r="G12" s="106" t="str">
        <f>"["&amp;TEXT(VALUE(MID(G11,2,LEN(G11)-2))+1,"#")&amp;"]"</f>
        <v>[11]</v>
      </c>
      <c r="H12" s="110" t="s">
        <v>20</v>
      </c>
      <c r="I12" s="111"/>
      <c r="J12" s="107">
        <f>J11/H5-1</f>
        <v>0.0719024975</v>
      </c>
      <c r="K12" s="112" t="str">
        <f>"="&amp;G11&amp;" / "&amp;E5&amp;" - 1.00"</f>
        <v>=[10] / [1] - 1.00</v>
      </c>
    </row>
    <row r="13" spans="1:11" ht="15.75">
      <c r="A13" s="1"/>
      <c r="B13" s="35" t="str">
        <f>"["&amp;TEXT(VALUE(MID(B12,2,LEN(B12)-2))+1,"#")&amp;"]"</f>
        <v>[7]</v>
      </c>
      <c r="C13" s="28" t="s">
        <v>22</v>
      </c>
      <c r="D13" s="22"/>
      <c r="E13" s="100">
        <f>E11+H5+E12</f>
        <v>4443.95142</v>
      </c>
      <c r="F13" s="50" t="str">
        <f>"="&amp;E5&amp;" +"&amp;B11&amp;" +"&amp;B12</f>
        <v>=[1] +[5] +[6]</v>
      </c>
      <c r="G13" s="35" t="str">
        <f>"["&amp;TEXT(VALUE(MID(G12,2,LEN(G12)-2))+1,"#")&amp;"]"</f>
        <v>[12]</v>
      </c>
      <c r="H13" s="27" t="s">
        <v>35</v>
      </c>
      <c r="I13" s="22"/>
      <c r="J13" s="102">
        <f>SUM(D87:J87)</f>
        <v>78.86523768000006</v>
      </c>
      <c r="K13" s="50" t="str">
        <f>"=Sum{ "&amp;A87&amp;" }"</f>
        <v>=Sum{ [38] }</v>
      </c>
    </row>
    <row r="14" spans="1:11" ht="15.75">
      <c r="A14" s="1"/>
      <c r="B14" s="35" t="str">
        <f>"["&amp;TEXT(VALUE(MID(B13,2,LEN(B13)-2))+1,"#")&amp;"]"</f>
        <v>[8]</v>
      </c>
      <c r="C14" s="28" t="s">
        <v>38</v>
      </c>
      <c r="D14" s="22"/>
      <c r="E14" s="14">
        <f>SUMPRODUCT($C26:$C45,H26:H45)</f>
        <v>70.87748880000005</v>
      </c>
      <c r="F14" s="50" t="str">
        <f>"=E{ "&amp;H18&amp;" }"</f>
        <v>=E{ [21] }</v>
      </c>
      <c r="G14" s="106" t="str">
        <f>"["&amp;TEXT(VALUE(MID(G13,2,LEN(G13)-2))+1,"#")&amp;"]"</f>
        <v>[13]</v>
      </c>
      <c r="H14" s="111" t="s">
        <v>8</v>
      </c>
      <c r="I14" s="111"/>
      <c r="J14" s="107">
        <f>J13/H5+H8</f>
        <v>0.07190701046666668</v>
      </c>
      <c r="K14" s="112" t="str">
        <f>"="&amp;G13&amp;" / "&amp;E5&amp;" + "&amp;E8</f>
        <v>=[12] / [1] + [4]</v>
      </c>
    </row>
    <row r="15" spans="1:11" ht="16.5" thickBot="1">
      <c r="A15" s="1"/>
      <c r="B15" s="108" t="str">
        <f>"["&amp;TEXT(VALUE(MID(B14,2,LEN(B14)-2))+1,"#")&amp;"]"</f>
        <v>[9]</v>
      </c>
      <c r="C15" s="113" t="s">
        <v>65</v>
      </c>
      <c r="D15" s="113"/>
      <c r="E15" s="109">
        <f>E14/H5</f>
        <v>0.019688191333333348</v>
      </c>
      <c r="F15" s="114" t="str">
        <f>"="&amp;B14&amp;" / "&amp;E5</f>
        <v>=[8] / [1]</v>
      </c>
      <c r="G15" s="108" t="str">
        <f>"["&amp;TEXT(VALUE(MID(G14,2,LEN(G14)-2))+1,"#")&amp;"]"</f>
        <v>[14]</v>
      </c>
      <c r="H15" s="113" t="s">
        <v>52</v>
      </c>
      <c r="I15" s="113"/>
      <c r="J15" s="109">
        <f>J14-E15-H8</f>
        <v>0.0022188191333333343</v>
      </c>
      <c r="K15" s="114" t="str">
        <f>"="&amp;G14&amp;" - "&amp;B15&amp;" - "&amp;E8</f>
        <v>=[13] - [9] - [4]</v>
      </c>
    </row>
    <row r="16" spans="1:8" ht="16.5" thickTop="1">
      <c r="A16" s="1"/>
      <c r="H16" s="41"/>
    </row>
    <row r="17" ht="12.75">
      <c r="A17" s="1"/>
    </row>
    <row r="18" spans="2:10" ht="15.75">
      <c r="B18" s="34" t="str">
        <f>"["&amp;TEXT(VALUE(MID(G15,2,LEN(G15)-2))+1,"#")&amp;"]"</f>
        <v>[15]</v>
      </c>
      <c r="C18" s="34" t="str">
        <f aca="true" t="shared" si="0" ref="C18:J18">"["&amp;TEXT(VALUE(MID(B18,2,LEN(B18)-2))+1,"#")&amp;"]"</f>
        <v>[16]</v>
      </c>
      <c r="D18" s="34" t="str">
        <f t="shared" si="0"/>
        <v>[17]</v>
      </c>
      <c r="E18" s="34" t="str">
        <f t="shared" si="0"/>
        <v>[18]</v>
      </c>
      <c r="F18" s="34" t="str">
        <f t="shared" si="0"/>
        <v>[19]</v>
      </c>
      <c r="G18" s="34" t="str">
        <f t="shared" si="0"/>
        <v>[20]</v>
      </c>
      <c r="H18" s="34" t="str">
        <f t="shared" si="0"/>
        <v>[21]</v>
      </c>
      <c r="I18" s="34" t="str">
        <f t="shared" si="0"/>
        <v>[22]</v>
      </c>
      <c r="J18" s="34" t="str">
        <f t="shared" si="0"/>
        <v>[23]</v>
      </c>
    </row>
    <row r="19" spans="2:10" ht="12.75" customHeight="1">
      <c r="B19" s="34"/>
      <c r="C19" s="34"/>
      <c r="D19" s="34"/>
      <c r="E19" s="34"/>
      <c r="F19" s="34"/>
      <c r="G19" s="34"/>
      <c r="H19" s="34"/>
      <c r="I19" s="34"/>
      <c r="J19" s="34"/>
    </row>
    <row r="20" spans="2:10" ht="12.75">
      <c r="B20" s="31"/>
      <c r="C20" s="31"/>
      <c r="D20" s="31"/>
      <c r="E20" s="31"/>
      <c r="F20" s="31"/>
      <c r="G20" s="31" t="s">
        <v>43</v>
      </c>
      <c r="H20" s="31"/>
      <c r="I20" s="31"/>
      <c r="J20" s="30"/>
    </row>
    <row r="21" spans="2:10" ht="12.75">
      <c r="B21" s="31"/>
      <c r="C21" s="38"/>
      <c r="D21" s="31"/>
      <c r="E21" s="31"/>
      <c r="F21" s="31"/>
      <c r="G21" s="31" t="s">
        <v>28</v>
      </c>
      <c r="H21" s="31"/>
      <c r="I21" s="31"/>
      <c r="J21" s="31"/>
    </row>
    <row r="22" spans="2:10" ht="12.75">
      <c r="B22" s="39" t="s">
        <v>68</v>
      </c>
      <c r="C22" s="39" t="s">
        <v>3</v>
      </c>
      <c r="D22" s="39" t="s">
        <v>4</v>
      </c>
      <c r="E22" s="39" t="s">
        <v>24</v>
      </c>
      <c r="F22" s="39" t="s">
        <v>5</v>
      </c>
      <c r="G22" s="31" t="s">
        <v>29</v>
      </c>
      <c r="H22" s="39" t="s">
        <v>6</v>
      </c>
      <c r="I22" s="39" t="s">
        <v>16</v>
      </c>
      <c r="J22" s="39" t="s">
        <v>17</v>
      </c>
    </row>
    <row r="23" spans="3:10" ht="12.75">
      <c r="C23" s="85" t="s">
        <v>41</v>
      </c>
      <c r="D23" s="42" t="s">
        <v>36</v>
      </c>
      <c r="E23" s="85" t="s">
        <v>41</v>
      </c>
      <c r="F23" s="42" t="str">
        <f>"="&amp;E7&amp;" * "&amp;E18</f>
        <v>=[3] * [18]</v>
      </c>
      <c r="G23" s="42" t="str">
        <f>"="&amp;B11&amp;" + "&amp;B12</f>
        <v>=[5] + [6]</v>
      </c>
      <c r="H23" s="42" t="s">
        <v>42</v>
      </c>
      <c r="I23" s="42" t="str">
        <f>"="&amp;B13&amp;" * (1.00 + "&amp;E8&amp;" )"</f>
        <v>=[7] * (1.00 + [4] )</v>
      </c>
      <c r="J23" s="42" t="str">
        <f>"="&amp;H18&amp;" / "&amp;E5</f>
        <v>=[21] / [1]</v>
      </c>
    </row>
    <row r="24" spans="4:10" ht="12.75">
      <c r="D24" s="42" t="str">
        <f>"of "&amp;C18</f>
        <v>of [16]</v>
      </c>
      <c r="E24" s="82"/>
      <c r="F24" s="82"/>
      <c r="G24" s="82"/>
      <c r="H24" s="42" t="str">
        <f>F18&amp;" - "&amp;G18&amp;" )"</f>
        <v>[19] - [20] )</v>
      </c>
      <c r="I24" s="85" t="str">
        <f>"- "&amp;F18</f>
        <v>- [19]</v>
      </c>
      <c r="J24" s="82"/>
    </row>
    <row r="25" ht="13.5" thickBot="1"/>
    <row r="26" spans="2:10" ht="12.75">
      <c r="B26" s="30">
        <v>1</v>
      </c>
      <c r="C26" s="88">
        <f>Case3!C26</f>
        <v>0.02</v>
      </c>
      <c r="D26" s="3">
        <f aca="true" t="shared" si="1" ref="D26:D45">C26+D25</f>
        <v>0.02</v>
      </c>
      <c r="E26" s="88">
        <v>0.35</v>
      </c>
      <c r="F26" s="91">
        <f aca="true" t="shared" si="2" ref="F26:F45">E26*$H$7</f>
        <v>420</v>
      </c>
      <c r="G26" s="91">
        <f>(1+H$6)*E$12</f>
        <v>843.9514199999999</v>
      </c>
      <c r="H26" s="91">
        <f aca="true" t="shared" si="3" ref="H26:H45">MAX(F26-G26,0)</f>
        <v>0</v>
      </c>
      <c r="I26" s="91">
        <f aca="true" t="shared" si="4" ref="I26:I45">$E$13*(1+$H$8)-F26</f>
        <v>4246.148991000001</v>
      </c>
      <c r="J26" s="92">
        <f aca="true" t="shared" si="5" ref="J26:J45">H26/H$5</f>
        <v>0</v>
      </c>
    </row>
    <row r="27" spans="2:10" ht="12.75">
      <c r="B27" s="30">
        <v>2</v>
      </c>
      <c r="C27" s="89">
        <f>Case3!C27</f>
        <v>0.04</v>
      </c>
      <c r="D27" s="3">
        <f t="shared" si="1"/>
        <v>0.06</v>
      </c>
      <c r="E27" s="89">
        <v>0.4</v>
      </c>
      <c r="F27" s="91">
        <f t="shared" si="2"/>
        <v>480</v>
      </c>
      <c r="G27" s="91">
        <f aca="true" t="shared" si="6" ref="G27:G45">G26</f>
        <v>843.9514199999999</v>
      </c>
      <c r="H27" s="91">
        <f t="shared" si="3"/>
        <v>0</v>
      </c>
      <c r="I27" s="91">
        <f t="shared" si="4"/>
        <v>4186.148991000001</v>
      </c>
      <c r="J27" s="92">
        <f t="shared" si="5"/>
        <v>0</v>
      </c>
    </row>
    <row r="28" spans="2:10" ht="12.75">
      <c r="B28" s="30">
        <v>3</v>
      </c>
      <c r="C28" s="89">
        <f>Case3!C28</f>
        <v>0.06</v>
      </c>
      <c r="D28" s="3">
        <f t="shared" si="1"/>
        <v>0.12</v>
      </c>
      <c r="E28" s="89">
        <v>0.45</v>
      </c>
      <c r="F28" s="91">
        <f t="shared" si="2"/>
        <v>540</v>
      </c>
      <c r="G28" s="91">
        <f t="shared" si="6"/>
        <v>843.9514199999999</v>
      </c>
      <c r="H28" s="91">
        <f t="shared" si="3"/>
        <v>0</v>
      </c>
      <c r="I28" s="91">
        <f t="shared" si="4"/>
        <v>4126.148991000001</v>
      </c>
      <c r="J28" s="92">
        <f t="shared" si="5"/>
        <v>0</v>
      </c>
    </row>
    <row r="29" spans="2:10" ht="12.75">
      <c r="B29" s="30">
        <v>4</v>
      </c>
      <c r="C29" s="89">
        <f>Case3!C29</f>
        <v>0.1</v>
      </c>
      <c r="D29" s="3">
        <f t="shared" si="1"/>
        <v>0.22</v>
      </c>
      <c r="E29" s="89">
        <v>0.5</v>
      </c>
      <c r="F29" s="91">
        <f t="shared" si="2"/>
        <v>600</v>
      </c>
      <c r="G29" s="91">
        <f t="shared" si="6"/>
        <v>843.9514199999999</v>
      </c>
      <c r="H29" s="91">
        <f t="shared" si="3"/>
        <v>0</v>
      </c>
      <c r="I29" s="91">
        <f t="shared" si="4"/>
        <v>4066.148991000001</v>
      </c>
      <c r="J29" s="92">
        <f t="shared" si="5"/>
        <v>0</v>
      </c>
    </row>
    <row r="30" spans="2:10" ht="12.75">
      <c r="B30" s="30">
        <v>5</v>
      </c>
      <c r="C30" s="89">
        <f>Case3!C30</f>
        <v>0.11</v>
      </c>
      <c r="D30" s="3">
        <f t="shared" si="1"/>
        <v>0.33</v>
      </c>
      <c r="E30" s="89">
        <v>0.55</v>
      </c>
      <c r="F30" s="91">
        <f t="shared" si="2"/>
        <v>660</v>
      </c>
      <c r="G30" s="91">
        <f t="shared" si="6"/>
        <v>843.9514199999999</v>
      </c>
      <c r="H30" s="91">
        <f t="shared" si="3"/>
        <v>0</v>
      </c>
      <c r="I30" s="91">
        <f t="shared" si="4"/>
        <v>4006.148991000001</v>
      </c>
      <c r="J30" s="92">
        <f t="shared" si="5"/>
        <v>0</v>
      </c>
    </row>
    <row r="31" spans="2:10" ht="12.75">
      <c r="B31" s="30">
        <v>6</v>
      </c>
      <c r="C31" s="89">
        <f>Case3!C31</f>
        <v>0.12</v>
      </c>
      <c r="D31" s="3">
        <f t="shared" si="1"/>
        <v>0.45</v>
      </c>
      <c r="E31" s="89">
        <v>0.6</v>
      </c>
      <c r="F31" s="91">
        <f t="shared" si="2"/>
        <v>720</v>
      </c>
      <c r="G31" s="91">
        <f t="shared" si="6"/>
        <v>843.9514199999999</v>
      </c>
      <c r="H31" s="91">
        <f t="shared" si="3"/>
        <v>0</v>
      </c>
      <c r="I31" s="91">
        <f t="shared" si="4"/>
        <v>3946.148991000001</v>
      </c>
      <c r="J31" s="92">
        <f t="shared" si="5"/>
        <v>0</v>
      </c>
    </row>
    <row r="32" spans="2:10" ht="12.75">
      <c r="B32" s="30">
        <v>7</v>
      </c>
      <c r="C32" s="89">
        <f>Case3!C32</f>
        <v>0.1</v>
      </c>
      <c r="D32" s="3">
        <f t="shared" si="1"/>
        <v>0.55</v>
      </c>
      <c r="E32" s="89">
        <v>0.65</v>
      </c>
      <c r="F32" s="91">
        <f t="shared" si="2"/>
        <v>780</v>
      </c>
      <c r="G32" s="91">
        <f t="shared" si="6"/>
        <v>843.9514199999999</v>
      </c>
      <c r="H32" s="91">
        <f t="shared" si="3"/>
        <v>0</v>
      </c>
      <c r="I32" s="91">
        <f t="shared" si="4"/>
        <v>3886.148991000001</v>
      </c>
      <c r="J32" s="92">
        <f t="shared" si="5"/>
        <v>0</v>
      </c>
    </row>
    <row r="33" spans="2:10" ht="12.75">
      <c r="B33" s="30">
        <v>8</v>
      </c>
      <c r="C33" s="89">
        <f>Case3!C33</f>
        <v>0.09</v>
      </c>
      <c r="D33" s="3">
        <f t="shared" si="1"/>
        <v>0.64</v>
      </c>
      <c r="E33" s="89">
        <v>0.7</v>
      </c>
      <c r="F33" s="91">
        <f t="shared" si="2"/>
        <v>840</v>
      </c>
      <c r="G33" s="91">
        <f t="shared" si="6"/>
        <v>843.9514199999999</v>
      </c>
      <c r="H33" s="91">
        <f t="shared" si="3"/>
        <v>0</v>
      </c>
      <c r="I33" s="91">
        <f t="shared" si="4"/>
        <v>3826.148991000001</v>
      </c>
      <c r="J33" s="92">
        <f t="shared" si="5"/>
        <v>0</v>
      </c>
    </row>
    <row r="34" spans="2:10" ht="12.75">
      <c r="B34" s="30">
        <v>9</v>
      </c>
      <c r="C34" s="89">
        <f>Case3!C34</f>
        <v>0.06</v>
      </c>
      <c r="D34" s="3">
        <f t="shared" si="1"/>
        <v>0.7</v>
      </c>
      <c r="E34" s="89">
        <v>0.75</v>
      </c>
      <c r="F34" s="91">
        <f t="shared" si="2"/>
        <v>900</v>
      </c>
      <c r="G34" s="91">
        <f t="shared" si="6"/>
        <v>843.9514199999999</v>
      </c>
      <c r="H34" s="91">
        <f t="shared" si="3"/>
        <v>56.04858000000013</v>
      </c>
      <c r="I34" s="91">
        <f t="shared" si="4"/>
        <v>3766.148991000001</v>
      </c>
      <c r="J34" s="92">
        <f t="shared" si="5"/>
        <v>0.015569050000000036</v>
      </c>
    </row>
    <row r="35" spans="2:10" ht="12.75">
      <c r="B35" s="30">
        <v>10</v>
      </c>
      <c r="C35" s="89">
        <f>Case3!C35</f>
        <v>0.05</v>
      </c>
      <c r="D35" s="3">
        <f t="shared" si="1"/>
        <v>0.75</v>
      </c>
      <c r="E35" s="89">
        <v>0.8</v>
      </c>
      <c r="F35" s="91">
        <f t="shared" si="2"/>
        <v>960</v>
      </c>
      <c r="G35" s="91">
        <f t="shared" si="6"/>
        <v>843.9514199999999</v>
      </c>
      <c r="H35" s="91">
        <f t="shared" si="3"/>
        <v>116.04858000000013</v>
      </c>
      <c r="I35" s="91">
        <f t="shared" si="4"/>
        <v>3706.148991000001</v>
      </c>
      <c r="J35" s="92">
        <f t="shared" si="5"/>
        <v>0.032235716666666706</v>
      </c>
    </row>
    <row r="36" spans="2:10" ht="12.75">
      <c r="B36" s="30">
        <v>11</v>
      </c>
      <c r="C36" s="89">
        <f>Case3!C36</f>
        <v>0.04</v>
      </c>
      <c r="D36" s="3">
        <f t="shared" si="1"/>
        <v>0.79</v>
      </c>
      <c r="E36" s="104">
        <v>0.825</v>
      </c>
      <c r="F36" s="91">
        <f t="shared" si="2"/>
        <v>990</v>
      </c>
      <c r="G36" s="91">
        <f t="shared" si="6"/>
        <v>843.9514199999999</v>
      </c>
      <c r="H36" s="91">
        <f t="shared" si="3"/>
        <v>146.04858000000013</v>
      </c>
      <c r="I36" s="91">
        <f t="shared" si="4"/>
        <v>3676.148991000001</v>
      </c>
      <c r="J36" s="92">
        <f t="shared" si="5"/>
        <v>0.04056905000000004</v>
      </c>
    </row>
    <row r="37" spans="2:10" ht="12.75">
      <c r="B37" s="30">
        <v>12</v>
      </c>
      <c r="C37" s="89">
        <f>Case3!C37</f>
        <v>0.04</v>
      </c>
      <c r="D37" s="3">
        <f t="shared" si="1"/>
        <v>0.8300000000000001</v>
      </c>
      <c r="E37" s="104">
        <v>0.85</v>
      </c>
      <c r="F37" s="91">
        <f t="shared" si="2"/>
        <v>1020</v>
      </c>
      <c r="G37" s="91">
        <f t="shared" si="6"/>
        <v>843.9514199999999</v>
      </c>
      <c r="H37" s="91">
        <f t="shared" si="3"/>
        <v>176.04858000000013</v>
      </c>
      <c r="I37" s="91">
        <f t="shared" si="4"/>
        <v>3646.148991000001</v>
      </c>
      <c r="J37" s="92">
        <f t="shared" si="5"/>
        <v>0.04890238333333337</v>
      </c>
    </row>
    <row r="38" spans="2:10" ht="12.75">
      <c r="B38" s="30">
        <v>13</v>
      </c>
      <c r="C38" s="89">
        <f>Case3!C38</f>
        <v>0.03</v>
      </c>
      <c r="D38" s="3">
        <f t="shared" si="1"/>
        <v>0.8600000000000001</v>
      </c>
      <c r="E38" s="104">
        <v>0.875</v>
      </c>
      <c r="F38" s="91">
        <f t="shared" si="2"/>
        <v>1050</v>
      </c>
      <c r="G38" s="91">
        <f t="shared" si="6"/>
        <v>843.9514199999999</v>
      </c>
      <c r="H38" s="91">
        <f t="shared" si="3"/>
        <v>206.04858000000013</v>
      </c>
      <c r="I38" s="91">
        <f t="shared" si="4"/>
        <v>3616.148991000001</v>
      </c>
      <c r="J38" s="92">
        <f t="shared" si="5"/>
        <v>0.0572357166666667</v>
      </c>
    </row>
    <row r="39" spans="2:10" ht="12.75">
      <c r="B39" s="30">
        <v>14</v>
      </c>
      <c r="C39" s="89">
        <f>Case3!C39</f>
        <v>0.03</v>
      </c>
      <c r="D39" s="3">
        <f t="shared" si="1"/>
        <v>0.8900000000000001</v>
      </c>
      <c r="E39" s="104">
        <v>0.9</v>
      </c>
      <c r="F39" s="91">
        <f t="shared" si="2"/>
        <v>1080</v>
      </c>
      <c r="G39" s="91">
        <f t="shared" si="6"/>
        <v>843.9514199999999</v>
      </c>
      <c r="H39" s="91">
        <f t="shared" si="3"/>
        <v>236.04858000000013</v>
      </c>
      <c r="I39" s="91">
        <f t="shared" si="4"/>
        <v>3586.148991000001</v>
      </c>
      <c r="J39" s="92">
        <f t="shared" si="5"/>
        <v>0.06556905000000003</v>
      </c>
    </row>
    <row r="40" spans="2:10" ht="12.75">
      <c r="B40" s="30">
        <v>15</v>
      </c>
      <c r="C40" s="89">
        <f>Case3!C40</f>
        <v>0.03</v>
      </c>
      <c r="D40" s="3">
        <f t="shared" si="1"/>
        <v>0.9200000000000002</v>
      </c>
      <c r="E40" s="104">
        <v>0.925</v>
      </c>
      <c r="F40" s="91">
        <f t="shared" si="2"/>
        <v>1110</v>
      </c>
      <c r="G40" s="91">
        <f t="shared" si="6"/>
        <v>843.9514199999999</v>
      </c>
      <c r="H40" s="91">
        <f t="shared" si="3"/>
        <v>266.04858000000013</v>
      </c>
      <c r="I40" s="91">
        <f t="shared" si="4"/>
        <v>3556.148991000001</v>
      </c>
      <c r="J40" s="92">
        <f t="shared" si="5"/>
        <v>0.07390238333333336</v>
      </c>
    </row>
    <row r="41" spans="2:10" ht="12.75">
      <c r="B41" s="30">
        <v>16</v>
      </c>
      <c r="C41" s="89">
        <f>Case3!C41</f>
        <v>0.02</v>
      </c>
      <c r="D41" s="3">
        <f t="shared" si="1"/>
        <v>0.9400000000000002</v>
      </c>
      <c r="E41" s="104">
        <v>0.95</v>
      </c>
      <c r="F41" s="91">
        <f t="shared" si="2"/>
        <v>1140</v>
      </c>
      <c r="G41" s="91">
        <f t="shared" si="6"/>
        <v>843.9514199999999</v>
      </c>
      <c r="H41" s="91">
        <f t="shared" si="3"/>
        <v>296.04858000000013</v>
      </c>
      <c r="I41" s="91">
        <f t="shared" si="4"/>
        <v>3526.148991000001</v>
      </c>
      <c r="J41" s="92">
        <f t="shared" si="5"/>
        <v>0.08223571666666671</v>
      </c>
    </row>
    <row r="42" spans="2:10" ht="12.75">
      <c r="B42" s="30">
        <v>17</v>
      </c>
      <c r="C42" s="89">
        <f>Case3!C42</f>
        <v>0.02</v>
      </c>
      <c r="D42" s="3">
        <f t="shared" si="1"/>
        <v>0.9600000000000002</v>
      </c>
      <c r="E42" s="104">
        <v>0.975</v>
      </c>
      <c r="F42" s="91">
        <f t="shared" si="2"/>
        <v>1170</v>
      </c>
      <c r="G42" s="91">
        <f t="shared" si="6"/>
        <v>843.9514199999999</v>
      </c>
      <c r="H42" s="91">
        <f t="shared" si="3"/>
        <v>326.04858000000013</v>
      </c>
      <c r="I42" s="91">
        <f t="shared" si="4"/>
        <v>3496.148991000001</v>
      </c>
      <c r="J42" s="92">
        <f t="shared" si="5"/>
        <v>0.09056905000000004</v>
      </c>
    </row>
    <row r="43" spans="2:10" ht="12.75">
      <c r="B43" s="30">
        <v>18</v>
      </c>
      <c r="C43" s="89">
        <f>Case3!C43</f>
        <v>0.02</v>
      </c>
      <c r="D43" s="3">
        <f t="shared" si="1"/>
        <v>0.9800000000000002</v>
      </c>
      <c r="E43" s="104">
        <v>1</v>
      </c>
      <c r="F43" s="91">
        <f t="shared" si="2"/>
        <v>1200</v>
      </c>
      <c r="G43" s="91">
        <f t="shared" si="6"/>
        <v>843.9514199999999</v>
      </c>
      <c r="H43" s="91">
        <f t="shared" si="3"/>
        <v>356.04858000000013</v>
      </c>
      <c r="I43" s="91">
        <f t="shared" si="4"/>
        <v>3466.148991000001</v>
      </c>
      <c r="J43" s="92">
        <f t="shared" si="5"/>
        <v>0.09890238333333337</v>
      </c>
    </row>
    <row r="44" spans="2:10" ht="12.75">
      <c r="B44" s="30">
        <v>19</v>
      </c>
      <c r="C44" s="89">
        <f>Case3!C44</f>
        <v>0.01</v>
      </c>
      <c r="D44" s="3">
        <f t="shared" si="1"/>
        <v>0.9900000000000002</v>
      </c>
      <c r="E44" s="104">
        <v>1.025</v>
      </c>
      <c r="F44" s="91">
        <f t="shared" si="2"/>
        <v>1230</v>
      </c>
      <c r="G44" s="91">
        <f t="shared" si="6"/>
        <v>843.9514199999999</v>
      </c>
      <c r="H44" s="91">
        <f t="shared" si="3"/>
        <v>386.04858000000013</v>
      </c>
      <c r="I44" s="91">
        <f t="shared" si="4"/>
        <v>3436.148991000001</v>
      </c>
      <c r="J44" s="92">
        <f t="shared" si="5"/>
        <v>0.1072357166666667</v>
      </c>
    </row>
    <row r="45" spans="2:10" ht="13.5" thickBot="1">
      <c r="B45" s="37">
        <v>20</v>
      </c>
      <c r="C45" s="90">
        <f>Case3!C45</f>
        <v>0.01</v>
      </c>
      <c r="D45" s="3">
        <f t="shared" si="1"/>
        <v>1.0000000000000002</v>
      </c>
      <c r="E45" s="105">
        <v>1.05</v>
      </c>
      <c r="F45" s="91">
        <f t="shared" si="2"/>
        <v>1260</v>
      </c>
      <c r="G45" s="91">
        <f t="shared" si="6"/>
        <v>843.9514199999999</v>
      </c>
      <c r="H45" s="91">
        <f t="shared" si="3"/>
        <v>416.04858000000013</v>
      </c>
      <c r="I45" s="91">
        <f t="shared" si="4"/>
        <v>3406.148991000001</v>
      </c>
      <c r="J45" s="92">
        <f t="shared" si="5"/>
        <v>0.11556905000000003</v>
      </c>
    </row>
    <row r="46" spans="1:9" ht="12.75">
      <c r="A46" s="37"/>
      <c r="B46" s="2"/>
      <c r="C46" s="3"/>
      <c r="D46" s="2"/>
      <c r="E46" s="4"/>
      <c r="F46" s="15"/>
      <c r="G46" s="4"/>
      <c r="H46" s="4"/>
      <c r="I46" s="7"/>
    </row>
    <row r="47" spans="1:12" ht="26.25">
      <c r="A47" s="43" t="str">
        <f>A1</f>
        <v>Exhibit 9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26.25">
      <c r="A48" s="45" t="str">
        <f>A2</f>
        <v>CASE 9 -- New Risk, Less Skewed, Same CS, In Yield and Loss Rate Balance</v>
      </c>
      <c r="B48" s="44"/>
      <c r="C48" s="44"/>
      <c r="D48" s="44"/>
      <c r="E48" s="44"/>
      <c r="F48" s="45"/>
      <c r="G48" s="44"/>
      <c r="H48" s="44"/>
      <c r="I48" s="44"/>
      <c r="J48" s="44"/>
      <c r="K48" s="44"/>
      <c r="L48" s="44"/>
    </row>
    <row r="49" spans="6:9" ht="13.5" thickBot="1">
      <c r="F49" s="5"/>
      <c r="I49" s="9"/>
    </row>
    <row r="50" spans="2:10" ht="20.25" thickBot="1" thickTop="1">
      <c r="B50" s="20"/>
      <c r="C50" s="21"/>
      <c r="D50" s="67"/>
      <c r="E50" s="67"/>
      <c r="F50" s="29" t="s">
        <v>23</v>
      </c>
      <c r="G50" s="67"/>
      <c r="H50" s="67"/>
      <c r="I50" s="67"/>
      <c r="J50" s="68"/>
    </row>
    <row r="51" spans="2:10" ht="13.5" thickBot="1">
      <c r="B51" s="69"/>
      <c r="C51" s="127" t="s">
        <v>67</v>
      </c>
      <c r="D51" s="128">
        <v>1</v>
      </c>
      <c r="E51" s="128">
        <v>2</v>
      </c>
      <c r="F51" s="128">
        <v>3</v>
      </c>
      <c r="G51" s="128">
        <v>4</v>
      </c>
      <c r="H51" s="128">
        <v>5</v>
      </c>
      <c r="I51" s="128">
        <v>6</v>
      </c>
      <c r="J51" s="129">
        <v>7</v>
      </c>
    </row>
    <row r="52" spans="2:11" ht="16.5" thickTop="1">
      <c r="B52" s="70" t="str">
        <f>"["&amp;TEXT(VALUE(MID(J18,2,LEN(J18)-2))+1,"#")&amp;"]"</f>
        <v>[24]</v>
      </c>
      <c r="C52" s="71" t="s">
        <v>0</v>
      </c>
      <c r="D52" s="11">
        <v>0.25</v>
      </c>
      <c r="E52" s="12">
        <v>0.25</v>
      </c>
      <c r="F52" s="12">
        <v>0.25</v>
      </c>
      <c r="G52" s="12">
        <v>0.25</v>
      </c>
      <c r="H52" s="12">
        <v>1</v>
      </c>
      <c r="I52" s="12">
        <v>2</v>
      </c>
      <c r="J52" s="75">
        <v>999.99</v>
      </c>
      <c r="K52" s="83" t="s">
        <v>41</v>
      </c>
    </row>
    <row r="53" spans="2:11" ht="16.5" thickBot="1">
      <c r="B53" s="65" t="str">
        <f>"["&amp;TEXT(VALUE(MID(B52,2,LEN(B52)-2))+1,"#")&amp;"]"</f>
        <v>[25]</v>
      </c>
      <c r="C53" s="72" t="s">
        <v>1</v>
      </c>
      <c r="D53" s="76">
        <v>0</v>
      </c>
      <c r="E53" s="73">
        <v>0.25</v>
      </c>
      <c r="F53" s="73">
        <v>0.5</v>
      </c>
      <c r="G53" s="73">
        <v>0.75</v>
      </c>
      <c r="H53" s="73">
        <v>1</v>
      </c>
      <c r="I53" s="73">
        <v>2</v>
      </c>
      <c r="J53" s="74">
        <v>4</v>
      </c>
      <c r="K53" s="86" t="s">
        <v>41</v>
      </c>
    </row>
    <row r="54" ht="13.5" thickTop="1"/>
    <row r="55" spans="2:10" s="103" customFormat="1" ht="15.75">
      <c r="B55" s="34" t="str">
        <f>B18</f>
        <v>[15]</v>
      </c>
      <c r="D55" s="34" t="str">
        <f>"["&amp;TEXT(VALUE(MID(B53,2,LEN(B53)-2))+1,"#")&amp;"]"</f>
        <v>[26]</v>
      </c>
      <c r="E55" s="34" t="str">
        <f aca="true" t="shared" si="7" ref="E55:J55">"["&amp;TEXT(VALUE(MID(D55,2,LEN(D55)-2))+1,"#")&amp;"]"</f>
        <v>[27]</v>
      </c>
      <c r="F55" s="34" t="str">
        <f t="shared" si="7"/>
        <v>[28]</v>
      </c>
      <c r="G55" s="34" t="str">
        <f t="shared" si="7"/>
        <v>[29]</v>
      </c>
      <c r="H55" s="34" t="str">
        <f t="shared" si="7"/>
        <v>[30]</v>
      </c>
      <c r="I55" s="34" t="str">
        <f t="shared" si="7"/>
        <v>[31]</v>
      </c>
      <c r="J55" s="34" t="str">
        <f t="shared" si="7"/>
        <v>[32]</v>
      </c>
    </row>
    <row r="56" ht="13.5" thickBot="1"/>
    <row r="57" spans="4:11" ht="13.5" thickTop="1">
      <c r="D57" s="10" t="s">
        <v>9</v>
      </c>
      <c r="E57" s="10" t="s">
        <v>10</v>
      </c>
      <c r="F57" s="10" t="s">
        <v>11</v>
      </c>
      <c r="G57" s="10" t="s">
        <v>12</v>
      </c>
      <c r="H57" s="10" t="s">
        <v>13</v>
      </c>
      <c r="I57" s="10" t="s">
        <v>14</v>
      </c>
      <c r="J57" s="10" t="s">
        <v>15</v>
      </c>
      <c r="K57" s="83" t="s">
        <v>44</v>
      </c>
    </row>
    <row r="58" spans="2:11" ht="12.75">
      <c r="B58" s="39" t="s">
        <v>68</v>
      </c>
      <c r="D58" s="10" t="s">
        <v>6</v>
      </c>
      <c r="E58" s="10" t="s">
        <v>6</v>
      </c>
      <c r="F58" s="10" t="s">
        <v>6</v>
      </c>
      <c r="G58" s="10" t="s">
        <v>6</v>
      </c>
      <c r="H58" s="10" t="s">
        <v>6</v>
      </c>
      <c r="I58" s="10" t="s">
        <v>6</v>
      </c>
      <c r="J58" s="10" t="s">
        <v>6</v>
      </c>
      <c r="K58" s="84" t="str">
        <f>"MAX( 0, MIN( "&amp;H18&amp;" -"</f>
        <v>MAX( 0, MIN( [21] -</v>
      </c>
    </row>
    <row r="59" spans="8:11" ht="13.5" thickBot="1">
      <c r="H59" s="6"/>
      <c r="I59" s="6"/>
      <c r="K59" s="81" t="str">
        <f>B53&amp;" * "&amp;E5&amp;", "&amp;B52&amp;" * "&amp;E5&amp;" ) )"</f>
        <v>[25] * [1], [24] * [1] ) )</v>
      </c>
    </row>
    <row r="60" spans="2:10" ht="13.5" thickTop="1">
      <c r="B60" s="30">
        <v>1</v>
      </c>
      <c r="D60" s="8">
        <f aca="true" t="shared" si="8" ref="D60:J69">MAX(0,MIN($H26-D$53*$H$5,D$52*$H$5))</f>
        <v>0</v>
      </c>
      <c r="E60" s="8">
        <f t="shared" si="8"/>
        <v>0</v>
      </c>
      <c r="F60" s="8">
        <f t="shared" si="8"/>
        <v>0</v>
      </c>
      <c r="G60" s="8">
        <f t="shared" si="8"/>
        <v>0</v>
      </c>
      <c r="H60" s="8">
        <f t="shared" si="8"/>
        <v>0</v>
      </c>
      <c r="I60" s="8">
        <f t="shared" si="8"/>
        <v>0</v>
      </c>
      <c r="J60" s="8">
        <f t="shared" si="8"/>
        <v>0</v>
      </c>
    </row>
    <row r="61" spans="2:10" ht="12.75">
      <c r="B61" s="30">
        <v>2</v>
      </c>
      <c r="D61" s="8">
        <f t="shared" si="8"/>
        <v>0</v>
      </c>
      <c r="E61" s="8">
        <f t="shared" si="8"/>
        <v>0</v>
      </c>
      <c r="F61" s="8">
        <f t="shared" si="8"/>
        <v>0</v>
      </c>
      <c r="G61" s="8">
        <f t="shared" si="8"/>
        <v>0</v>
      </c>
      <c r="H61" s="8">
        <f t="shared" si="8"/>
        <v>0</v>
      </c>
      <c r="I61" s="8">
        <f t="shared" si="8"/>
        <v>0</v>
      </c>
      <c r="J61" s="8">
        <f t="shared" si="8"/>
        <v>0</v>
      </c>
    </row>
    <row r="62" spans="2:11" ht="12.75">
      <c r="B62" s="30">
        <v>3</v>
      </c>
      <c r="D62" s="8">
        <f t="shared" si="8"/>
        <v>0</v>
      </c>
      <c r="E62" s="8">
        <f t="shared" si="8"/>
        <v>0</v>
      </c>
      <c r="F62" s="8">
        <f t="shared" si="8"/>
        <v>0</v>
      </c>
      <c r="G62" s="8">
        <f t="shared" si="8"/>
        <v>0</v>
      </c>
      <c r="H62" s="8">
        <f t="shared" si="8"/>
        <v>0</v>
      </c>
      <c r="I62" s="8">
        <f t="shared" si="8"/>
        <v>0</v>
      </c>
      <c r="J62" s="8">
        <f t="shared" si="8"/>
        <v>0</v>
      </c>
      <c r="K62" s="40"/>
    </row>
    <row r="63" spans="2:10" ht="12.75">
      <c r="B63" s="30">
        <v>4</v>
      </c>
      <c r="D63" s="8">
        <f t="shared" si="8"/>
        <v>0</v>
      </c>
      <c r="E63" s="8">
        <f t="shared" si="8"/>
        <v>0</v>
      </c>
      <c r="F63" s="8">
        <f t="shared" si="8"/>
        <v>0</v>
      </c>
      <c r="G63" s="8">
        <f t="shared" si="8"/>
        <v>0</v>
      </c>
      <c r="H63" s="8">
        <f t="shared" si="8"/>
        <v>0</v>
      </c>
      <c r="I63" s="8">
        <f t="shared" si="8"/>
        <v>0</v>
      </c>
      <c r="J63" s="8">
        <f t="shared" si="8"/>
        <v>0</v>
      </c>
    </row>
    <row r="64" spans="2:10" ht="12.75">
      <c r="B64" s="30">
        <v>5</v>
      </c>
      <c r="D64" s="8">
        <f t="shared" si="8"/>
        <v>0</v>
      </c>
      <c r="E64" s="8">
        <f t="shared" si="8"/>
        <v>0</v>
      </c>
      <c r="F64" s="8">
        <f t="shared" si="8"/>
        <v>0</v>
      </c>
      <c r="G64" s="8">
        <f t="shared" si="8"/>
        <v>0</v>
      </c>
      <c r="H64" s="8">
        <f t="shared" si="8"/>
        <v>0</v>
      </c>
      <c r="I64" s="8">
        <f t="shared" si="8"/>
        <v>0</v>
      </c>
      <c r="J64" s="8">
        <f t="shared" si="8"/>
        <v>0</v>
      </c>
    </row>
    <row r="65" spans="2:10" ht="12.75">
      <c r="B65" s="30">
        <v>6</v>
      </c>
      <c r="D65" s="8">
        <f t="shared" si="8"/>
        <v>0</v>
      </c>
      <c r="E65" s="8">
        <f t="shared" si="8"/>
        <v>0</v>
      </c>
      <c r="F65" s="8">
        <f t="shared" si="8"/>
        <v>0</v>
      </c>
      <c r="G65" s="8">
        <f t="shared" si="8"/>
        <v>0</v>
      </c>
      <c r="H65" s="8">
        <f t="shared" si="8"/>
        <v>0</v>
      </c>
      <c r="I65" s="8">
        <f t="shared" si="8"/>
        <v>0</v>
      </c>
      <c r="J65" s="8">
        <f t="shared" si="8"/>
        <v>0</v>
      </c>
    </row>
    <row r="66" spans="2:10" ht="12.75">
      <c r="B66" s="30">
        <v>7</v>
      </c>
      <c r="D66" s="8">
        <f t="shared" si="8"/>
        <v>0</v>
      </c>
      <c r="E66" s="8">
        <f t="shared" si="8"/>
        <v>0</v>
      </c>
      <c r="F66" s="8">
        <f t="shared" si="8"/>
        <v>0</v>
      </c>
      <c r="G66" s="8">
        <f t="shared" si="8"/>
        <v>0</v>
      </c>
      <c r="H66" s="8">
        <f t="shared" si="8"/>
        <v>0</v>
      </c>
      <c r="I66" s="8">
        <f t="shared" si="8"/>
        <v>0</v>
      </c>
      <c r="J66" s="8">
        <f t="shared" si="8"/>
        <v>0</v>
      </c>
    </row>
    <row r="67" spans="2:10" ht="12.75">
      <c r="B67" s="30">
        <v>8</v>
      </c>
      <c r="D67" s="8">
        <f t="shared" si="8"/>
        <v>0</v>
      </c>
      <c r="E67" s="8">
        <f t="shared" si="8"/>
        <v>0</v>
      </c>
      <c r="F67" s="8">
        <f t="shared" si="8"/>
        <v>0</v>
      </c>
      <c r="G67" s="8">
        <f t="shared" si="8"/>
        <v>0</v>
      </c>
      <c r="H67" s="8">
        <f t="shared" si="8"/>
        <v>0</v>
      </c>
      <c r="I67" s="8">
        <f t="shared" si="8"/>
        <v>0</v>
      </c>
      <c r="J67" s="8">
        <f t="shared" si="8"/>
        <v>0</v>
      </c>
    </row>
    <row r="68" spans="2:10" ht="12.75">
      <c r="B68" s="30">
        <v>9</v>
      </c>
      <c r="D68" s="8">
        <f t="shared" si="8"/>
        <v>56.04858000000013</v>
      </c>
      <c r="E68" s="8">
        <f t="shared" si="8"/>
        <v>0</v>
      </c>
      <c r="F68" s="8">
        <f t="shared" si="8"/>
        <v>0</v>
      </c>
      <c r="G68" s="8">
        <f t="shared" si="8"/>
        <v>0</v>
      </c>
      <c r="H68" s="8">
        <f t="shared" si="8"/>
        <v>0</v>
      </c>
      <c r="I68" s="8">
        <f t="shared" si="8"/>
        <v>0</v>
      </c>
      <c r="J68" s="8">
        <f t="shared" si="8"/>
        <v>0</v>
      </c>
    </row>
    <row r="69" spans="2:10" ht="12.75">
      <c r="B69" s="30">
        <v>10</v>
      </c>
      <c r="D69" s="8">
        <f t="shared" si="8"/>
        <v>116.04858000000013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</row>
    <row r="70" spans="2:10" ht="12.75">
      <c r="B70" s="30">
        <v>11</v>
      </c>
      <c r="D70" s="8">
        <f aca="true" t="shared" si="9" ref="D70:J79">MAX(0,MIN($H36-D$53*$H$5,D$52*$H$5))</f>
        <v>146.04858000000013</v>
      </c>
      <c r="E70" s="8">
        <f t="shared" si="9"/>
        <v>0</v>
      </c>
      <c r="F70" s="8">
        <f t="shared" si="9"/>
        <v>0</v>
      </c>
      <c r="G70" s="8">
        <f t="shared" si="9"/>
        <v>0</v>
      </c>
      <c r="H70" s="8">
        <f t="shared" si="9"/>
        <v>0</v>
      </c>
      <c r="I70" s="8">
        <f t="shared" si="9"/>
        <v>0</v>
      </c>
      <c r="J70" s="8">
        <f t="shared" si="9"/>
        <v>0</v>
      </c>
    </row>
    <row r="71" spans="2:10" ht="12.75">
      <c r="B71" s="30">
        <v>12</v>
      </c>
      <c r="D71" s="8">
        <f t="shared" si="9"/>
        <v>176.04858000000013</v>
      </c>
      <c r="E71" s="8">
        <f t="shared" si="9"/>
        <v>0</v>
      </c>
      <c r="F71" s="8">
        <f t="shared" si="9"/>
        <v>0</v>
      </c>
      <c r="G71" s="8">
        <f t="shared" si="9"/>
        <v>0</v>
      </c>
      <c r="H71" s="8">
        <f t="shared" si="9"/>
        <v>0</v>
      </c>
      <c r="I71" s="8">
        <f t="shared" si="9"/>
        <v>0</v>
      </c>
      <c r="J71" s="8">
        <f t="shared" si="9"/>
        <v>0</v>
      </c>
    </row>
    <row r="72" spans="2:10" ht="12.75">
      <c r="B72" s="30">
        <v>13</v>
      </c>
      <c r="D72" s="8">
        <f t="shared" si="9"/>
        <v>206.04858000000013</v>
      </c>
      <c r="E72" s="8">
        <f t="shared" si="9"/>
        <v>0</v>
      </c>
      <c r="F72" s="8">
        <f t="shared" si="9"/>
        <v>0</v>
      </c>
      <c r="G72" s="8">
        <f t="shared" si="9"/>
        <v>0</v>
      </c>
      <c r="H72" s="8">
        <f t="shared" si="9"/>
        <v>0</v>
      </c>
      <c r="I72" s="8">
        <f t="shared" si="9"/>
        <v>0</v>
      </c>
      <c r="J72" s="8">
        <f t="shared" si="9"/>
        <v>0</v>
      </c>
    </row>
    <row r="73" spans="2:10" ht="12.75">
      <c r="B73" s="30">
        <v>14</v>
      </c>
      <c r="D73" s="8">
        <f t="shared" si="9"/>
        <v>236.04858000000013</v>
      </c>
      <c r="E73" s="8">
        <f t="shared" si="9"/>
        <v>0</v>
      </c>
      <c r="F73" s="8">
        <f t="shared" si="9"/>
        <v>0</v>
      </c>
      <c r="G73" s="8">
        <f t="shared" si="9"/>
        <v>0</v>
      </c>
      <c r="H73" s="8">
        <f t="shared" si="9"/>
        <v>0</v>
      </c>
      <c r="I73" s="8">
        <f t="shared" si="9"/>
        <v>0</v>
      </c>
      <c r="J73" s="8">
        <f t="shared" si="9"/>
        <v>0</v>
      </c>
    </row>
    <row r="74" spans="2:10" ht="12.75">
      <c r="B74" s="30">
        <v>15</v>
      </c>
      <c r="D74" s="8">
        <f t="shared" si="9"/>
        <v>266.04858000000013</v>
      </c>
      <c r="E74" s="8">
        <f t="shared" si="9"/>
        <v>0</v>
      </c>
      <c r="F74" s="8">
        <f t="shared" si="9"/>
        <v>0</v>
      </c>
      <c r="G74" s="8">
        <f t="shared" si="9"/>
        <v>0</v>
      </c>
      <c r="H74" s="8">
        <f t="shared" si="9"/>
        <v>0</v>
      </c>
      <c r="I74" s="8">
        <f t="shared" si="9"/>
        <v>0</v>
      </c>
      <c r="J74" s="8">
        <f t="shared" si="9"/>
        <v>0</v>
      </c>
    </row>
    <row r="75" spans="2:10" ht="12.75">
      <c r="B75" s="30">
        <v>16</v>
      </c>
      <c r="D75" s="8">
        <f t="shared" si="9"/>
        <v>296.04858000000013</v>
      </c>
      <c r="E75" s="8">
        <f t="shared" si="9"/>
        <v>0</v>
      </c>
      <c r="F75" s="8">
        <f t="shared" si="9"/>
        <v>0</v>
      </c>
      <c r="G75" s="8">
        <f t="shared" si="9"/>
        <v>0</v>
      </c>
      <c r="H75" s="8">
        <f t="shared" si="9"/>
        <v>0</v>
      </c>
      <c r="I75" s="8">
        <f t="shared" si="9"/>
        <v>0</v>
      </c>
      <c r="J75" s="8">
        <f t="shared" si="9"/>
        <v>0</v>
      </c>
    </row>
    <row r="76" spans="2:10" ht="12.75">
      <c r="B76" s="30">
        <v>17</v>
      </c>
      <c r="D76" s="8">
        <f t="shared" si="9"/>
        <v>326.04858000000013</v>
      </c>
      <c r="E76" s="8">
        <f t="shared" si="9"/>
        <v>0</v>
      </c>
      <c r="F76" s="8">
        <f t="shared" si="9"/>
        <v>0</v>
      </c>
      <c r="G76" s="8">
        <f t="shared" si="9"/>
        <v>0</v>
      </c>
      <c r="H76" s="8">
        <f t="shared" si="9"/>
        <v>0</v>
      </c>
      <c r="I76" s="8">
        <f t="shared" si="9"/>
        <v>0</v>
      </c>
      <c r="J76" s="8">
        <f t="shared" si="9"/>
        <v>0</v>
      </c>
    </row>
    <row r="77" spans="2:10" ht="12.75">
      <c r="B77" s="30">
        <v>18</v>
      </c>
      <c r="D77" s="8">
        <f t="shared" si="9"/>
        <v>356.04858000000013</v>
      </c>
      <c r="E77" s="8">
        <f t="shared" si="9"/>
        <v>0</v>
      </c>
      <c r="F77" s="8">
        <f t="shared" si="9"/>
        <v>0</v>
      </c>
      <c r="G77" s="8">
        <f t="shared" si="9"/>
        <v>0</v>
      </c>
      <c r="H77" s="8">
        <f t="shared" si="9"/>
        <v>0</v>
      </c>
      <c r="I77" s="8">
        <f t="shared" si="9"/>
        <v>0</v>
      </c>
      <c r="J77" s="8">
        <f t="shared" si="9"/>
        <v>0</v>
      </c>
    </row>
    <row r="78" spans="2:10" ht="12.75">
      <c r="B78" s="30">
        <v>19</v>
      </c>
      <c r="D78" s="8">
        <f t="shared" si="9"/>
        <v>386.04858000000013</v>
      </c>
      <c r="E78" s="8">
        <f t="shared" si="9"/>
        <v>0</v>
      </c>
      <c r="F78" s="8">
        <f t="shared" si="9"/>
        <v>0</v>
      </c>
      <c r="G78" s="8">
        <f t="shared" si="9"/>
        <v>0</v>
      </c>
      <c r="H78" s="8">
        <f t="shared" si="9"/>
        <v>0</v>
      </c>
      <c r="I78" s="8">
        <f t="shared" si="9"/>
        <v>0</v>
      </c>
      <c r="J78" s="8">
        <f t="shared" si="9"/>
        <v>0</v>
      </c>
    </row>
    <row r="79" spans="2:10" ht="12.75">
      <c r="B79" s="37">
        <v>20</v>
      </c>
      <c r="D79" s="8">
        <f t="shared" si="9"/>
        <v>416.04858000000013</v>
      </c>
      <c r="E79" s="8">
        <f t="shared" si="9"/>
        <v>0</v>
      </c>
      <c r="F79" s="8">
        <f t="shared" si="9"/>
        <v>0</v>
      </c>
      <c r="G79" s="8">
        <f t="shared" si="9"/>
        <v>0</v>
      </c>
      <c r="H79" s="8">
        <f t="shared" si="9"/>
        <v>0</v>
      </c>
      <c r="I79" s="8">
        <f t="shared" si="9"/>
        <v>0</v>
      </c>
      <c r="J79" s="8">
        <f t="shared" si="9"/>
        <v>0</v>
      </c>
    </row>
    <row r="80" spans="4:10" ht="12.75">
      <c r="D80" s="8"/>
      <c r="E80" s="8"/>
      <c r="F80" s="8"/>
      <c r="G80" s="8"/>
      <c r="H80" s="8"/>
      <c r="I80" s="8"/>
      <c r="J80" s="8"/>
    </row>
    <row r="81" ht="13.5" thickBot="1"/>
    <row r="82" spans="1:11" ht="16.5" thickTop="1">
      <c r="A82" s="77" t="str">
        <f>"["&amp;TEXT(VALUE(MID(J55,2,LEN(J55)-2))+1,"#")&amp;"]"</f>
        <v>[33]</v>
      </c>
      <c r="B82" s="60" t="s">
        <v>40</v>
      </c>
      <c r="C82" s="21"/>
      <c r="D82" s="93">
        <f aca="true" t="shared" si="10" ref="D82:J82">SUMPRODUCT($C26:$C45,D60:D79)</f>
        <v>70.87748880000005</v>
      </c>
      <c r="E82" s="93">
        <f t="shared" si="10"/>
        <v>0</v>
      </c>
      <c r="F82" s="93">
        <f t="shared" si="10"/>
        <v>0</v>
      </c>
      <c r="G82" s="93">
        <f t="shared" si="10"/>
        <v>0</v>
      </c>
      <c r="H82" s="93">
        <f t="shared" si="10"/>
        <v>0</v>
      </c>
      <c r="I82" s="93">
        <f t="shared" si="10"/>
        <v>0</v>
      </c>
      <c r="J82" s="94">
        <f t="shared" si="10"/>
        <v>0</v>
      </c>
      <c r="K82" s="49" t="s">
        <v>66</v>
      </c>
    </row>
    <row r="83" spans="1:11" ht="16.5" thickBot="1">
      <c r="A83" s="61" t="str">
        <f>"["&amp;TEXT(VALUE(MID(A82,2,LEN(A82)-2))+1,"#")&amp;"]"</f>
        <v>[34]</v>
      </c>
      <c r="B83" s="62" t="s">
        <v>25</v>
      </c>
      <c r="C83" s="22"/>
      <c r="D83" s="95">
        <f aca="true" t="shared" si="11" ref="D83:J83">D$82/$H$5/D$52</f>
        <v>0.07875276533333339</v>
      </c>
      <c r="E83" s="95">
        <f t="shared" si="11"/>
        <v>0</v>
      </c>
      <c r="F83" s="95">
        <f t="shared" si="11"/>
        <v>0</v>
      </c>
      <c r="G83" s="95">
        <f t="shared" si="11"/>
        <v>0</v>
      </c>
      <c r="H83" s="95">
        <f t="shared" si="11"/>
        <v>0</v>
      </c>
      <c r="I83" s="95">
        <f t="shared" si="11"/>
        <v>0</v>
      </c>
      <c r="J83" s="96">
        <f t="shared" si="11"/>
        <v>0</v>
      </c>
      <c r="K83" s="50" t="str">
        <f>"="&amp;A82&amp;" / "&amp;E5&amp;" / "&amp;B52</f>
        <v>=[33] / [1] / [24]</v>
      </c>
    </row>
    <row r="84" spans="1:11" ht="15.75">
      <c r="A84" s="61" t="str">
        <f>"["&amp;TEXT(VALUE(MID(A83,2,LEN(A83)-2))+1,"#")&amp;"]"</f>
        <v>[35]</v>
      </c>
      <c r="B84" s="63" t="s">
        <v>26</v>
      </c>
      <c r="C84" s="22"/>
      <c r="D84" s="18">
        <v>0.1</v>
      </c>
      <c r="E84" s="19">
        <v>0.25</v>
      </c>
      <c r="F84" s="19">
        <v>0.5</v>
      </c>
      <c r="G84" s="19">
        <v>0.75</v>
      </c>
      <c r="H84" s="19">
        <v>1</v>
      </c>
      <c r="I84" s="19">
        <v>2</v>
      </c>
      <c r="J84" s="78">
        <v>4</v>
      </c>
      <c r="K84" s="80" t="s">
        <v>41</v>
      </c>
    </row>
    <row r="85" spans="1:11" ht="16.5" thickBot="1">
      <c r="A85" s="61" t="str">
        <f>"["&amp;TEXT(VALUE(MID(A84,2,LEN(A84)-2))+1,"#")&amp;"]"</f>
        <v>[36]</v>
      </c>
      <c r="B85" s="63" t="s">
        <v>27</v>
      </c>
      <c r="C85" s="22"/>
      <c r="D85" s="16">
        <v>0.001</v>
      </c>
      <c r="E85" s="17">
        <v>0.001</v>
      </c>
      <c r="F85" s="17">
        <v>0.001</v>
      </c>
      <c r="G85" s="17">
        <v>0.001</v>
      </c>
      <c r="H85" s="17">
        <v>0.001</v>
      </c>
      <c r="I85" s="17">
        <v>0.001</v>
      </c>
      <c r="J85" s="79">
        <v>0.001</v>
      </c>
      <c r="K85" s="80" t="s">
        <v>41</v>
      </c>
    </row>
    <row r="86" spans="1:11" ht="15.75">
      <c r="A86" s="61" t="str">
        <f>"["&amp;TEXT(VALUE(MID(A85,2,LEN(A85)-2))+1,"#")&amp;"]"</f>
        <v>[37]</v>
      </c>
      <c r="B86" s="64" t="s">
        <v>34</v>
      </c>
      <c r="C86" s="22"/>
      <c r="D86" s="95">
        <f aca="true" t="shared" si="12" ref="D86:J86">IF(D83&gt;0,D85+(1+D84)*D83,0)</f>
        <v>0.08762804186666674</v>
      </c>
      <c r="E86" s="95">
        <f t="shared" si="12"/>
        <v>0</v>
      </c>
      <c r="F86" s="95">
        <f t="shared" si="12"/>
        <v>0</v>
      </c>
      <c r="G86" s="95">
        <f t="shared" si="12"/>
        <v>0</v>
      </c>
      <c r="H86" s="95">
        <f t="shared" si="12"/>
        <v>0</v>
      </c>
      <c r="I86" s="95">
        <f t="shared" si="12"/>
        <v>0</v>
      </c>
      <c r="J86" s="96">
        <f t="shared" si="12"/>
        <v>0</v>
      </c>
      <c r="K86" s="50" t="str">
        <f>"="&amp;A83&amp;" *(1+"&amp;A84&amp;" ) + "&amp;A85</f>
        <v>=[34] *(1+[35] ) + [36]</v>
      </c>
    </row>
    <row r="87" spans="1:11" ht="16.5" thickBot="1">
      <c r="A87" s="65" t="str">
        <f>"["&amp;TEXT(VALUE(MID(A86,2,LEN(A86)-2))+1,"#")&amp;"]"</f>
        <v>[38]</v>
      </c>
      <c r="B87" s="66" t="s">
        <v>7</v>
      </c>
      <c r="C87" s="25"/>
      <c r="D87" s="97">
        <f aca="true" t="shared" si="13" ref="D87:J87">D86*D52*$H5</f>
        <v>78.86523768000006</v>
      </c>
      <c r="E87" s="97">
        <f t="shared" si="13"/>
        <v>0</v>
      </c>
      <c r="F87" s="97">
        <f t="shared" si="13"/>
        <v>0</v>
      </c>
      <c r="G87" s="97">
        <f t="shared" si="13"/>
        <v>0</v>
      </c>
      <c r="H87" s="97">
        <f t="shared" si="13"/>
        <v>0</v>
      </c>
      <c r="I87" s="97">
        <f t="shared" si="13"/>
        <v>0</v>
      </c>
      <c r="J87" s="98">
        <f t="shared" si="13"/>
        <v>0</v>
      </c>
      <c r="K87" s="81" t="str">
        <f>"="&amp;A86&amp;" * "&amp;E5&amp;" * "&amp;B52</f>
        <v>=[37] * [1] * [24]</v>
      </c>
    </row>
    <row r="88" ht="16.5" thickTop="1">
      <c r="A88" s="33"/>
    </row>
  </sheetData>
  <printOptions horizontalCentered="1" verticalCentered="1"/>
  <pageMargins left="0.75" right="0.75" top="0.49" bottom="0.5" header="0.5" footer="0.5"/>
  <pageSetup fitToHeight="2" fitToWidth="1" horizontalDpi="300" verticalDpi="300" orientation="landscape" scale="77" r:id="rId1"/>
  <headerFooter alignWithMargins="0">
    <oddHeader>&amp;R&amp;"Arial,Bold Italic"&amp;14Page &amp;P of &amp;N</oddHeader>
  </headerFooter>
  <rowBreaks count="2" manualBreakCount="2">
    <brk id="48" max="10" man="1"/>
    <brk id="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 Mango</cp:lastModifiedBy>
  <cp:lastPrinted>1999-01-25T21:00:45Z</cp:lastPrinted>
  <dcterms:created xsi:type="dcterms:W3CDTF">1998-04-02T15:06:22Z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