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470" windowHeight="14040" activeTab="0"/>
  </bookViews>
  <sheets>
    <sheet name="Paper Exhibits" sheetId="1" r:id="rId1"/>
  </sheets>
  <definedNames>
    <definedName name="_xlnm.Print_Area" localSheetId="0">'Paper Exhibits'!$A$1:$Y$59</definedName>
    <definedName name="_xlnm.Print_Titles" localSheetId="0">'Paper Exhibits'!$1:$2</definedName>
  </definedNames>
  <calcPr fullCalcOnLoad="1"/>
</workbook>
</file>

<file path=xl/comments1.xml><?xml version="1.0" encoding="utf-8"?>
<comments xmlns="http://schemas.openxmlformats.org/spreadsheetml/2006/main">
  <authors>
    <author>Michael Wacek</author>
  </authors>
  <commentList>
    <comment ref="A3" authorId="0">
      <text>
        <r>
          <rPr>
            <b/>
            <sz val="8"/>
            <rFont val="Tahoma"/>
            <family val="0"/>
          </rPr>
          <t>Michael Wacek:</t>
        </r>
        <r>
          <rPr>
            <sz val="8"/>
            <rFont val="Tahoma"/>
            <family val="0"/>
          </rPr>
          <t xml:space="preserve">
This worksheet requires the following assumptions:
1. The year of the reserve valuation date. (Cell B4)
2. The income tax rate. (Cell B5)
3. The target return on equity. (Cell B6)
4. The risk-free spot rates for maturities between one and eleven years. (Cells B12:B22)
5. The unbiased estimate of (undiscounted) unpaid losses as of the reserve valuation date. (Cell F12)
6. The present value of the 99.5% quantile hindsight estimate one year out (Cells L12:L21) and the present value of corresponding unpaid loss portion of the 99.5% quantile hindsight estimate one year out. (Cells M12:M21) 
</t>
        </r>
        <r>
          <rPr>
            <i/>
            <sz val="8"/>
            <rFont val="Tahoma"/>
            <family val="2"/>
          </rPr>
          <t>These quantities must be consistent with Assumptions 4 and 7.</t>
        </r>
        <r>
          <rPr>
            <sz val="8"/>
            <rFont val="Tahoma"/>
            <family val="0"/>
          </rPr>
          <t xml:space="preserve">
7. Expected loss payment pattern. (Cells K46:K55)
The cells containing the input assumptions are highlighted in yellow. All other fields are protected.</t>
        </r>
      </text>
    </comment>
  </commentList>
</comments>
</file>

<file path=xl/sharedStrings.xml><?xml version="1.0" encoding="utf-8"?>
<sst xmlns="http://schemas.openxmlformats.org/spreadsheetml/2006/main" count="120" uniqueCount="67">
  <si>
    <t>Valuation Yr</t>
  </si>
  <si>
    <t>ROE Divisor</t>
  </si>
  <si>
    <t>Table 1</t>
  </si>
  <si>
    <t>Table 2</t>
  </si>
  <si>
    <t>Table 3</t>
  </si>
  <si>
    <t>Table 4</t>
  </si>
  <si>
    <t>Table 5</t>
  </si>
  <si>
    <t>(1)</t>
  </si>
  <si>
    <t>(2)</t>
  </si>
  <si>
    <t>(3)</t>
  </si>
  <si>
    <t>(4)</t>
  </si>
  <si>
    <t>(5)</t>
  </si>
  <si>
    <t>Intermediate Values</t>
  </si>
  <si>
    <t>Number of Years</t>
  </si>
  <si>
    <t>Spot Rate</t>
  </si>
  <si>
    <t>Forward Rate for 1-Yr Money</t>
  </si>
  <si>
    <t>Forward Discount Rate for 1-Yr Money</t>
  </si>
  <si>
    <t>Year Ending December</t>
  </si>
  <si>
    <t>Expected Unpaid Losses</t>
  </si>
  <si>
    <t>Expected Payments in Period Ending</t>
  </si>
  <si>
    <t>Expected PV of Unpaid Losses</t>
  </si>
  <si>
    <t>PV Expected Unpaid Loss 1 Yr Out</t>
  </si>
  <si>
    <t xml:space="preserve"> PV of 99.5% Quantile Hindsight Estimate 1 Yr Out</t>
  </si>
  <si>
    <t>Additional Loss Funding Need 1 Yr out at 99.5%</t>
  </si>
  <si>
    <t>Expected PV of Unpaid Losses 1 Year Out</t>
  </si>
  <si>
    <t>Additional Risk Margin Need 1 Yr Out at 99.5%</t>
  </si>
  <si>
    <t>Table 6</t>
  </si>
  <si>
    <t>Table 7</t>
  </si>
  <si>
    <t>Table 8</t>
  </si>
  <si>
    <t>Table 9</t>
  </si>
  <si>
    <t>(6)</t>
  </si>
  <si>
    <t>(7)</t>
  </si>
  <si>
    <t>Expected Risk Margin 1 Yr Out</t>
  </si>
  <si>
    <t>Required Capital</t>
  </si>
  <si>
    <t>Annual Pre-tax Cost of Capital (Paid 1 Yr Out)</t>
  </si>
  <si>
    <t>Expected Risk Margin</t>
  </si>
  <si>
    <t>Required Capital Ratio</t>
  </si>
  <si>
    <t>Fair Value Reserve</t>
  </si>
  <si>
    <t>Risk Margin Ratio to PV of Unpaid Losses</t>
  </si>
  <si>
    <t>Ratio of Fair Value Reserve to Unpaid Losses</t>
  </si>
  <si>
    <t>Expected Beginning U/W Assets</t>
  </si>
  <si>
    <t>Expected Paid Losses in Next Year</t>
  </si>
  <si>
    <t>Expected Net Interest Earned in Next Year</t>
  </si>
  <si>
    <t>Expected Pre-Tax Cost of Capital in Next Yr</t>
  </si>
  <si>
    <t>Expected Ending U/W Assets</t>
  </si>
  <si>
    <t>Expected Ending Fair Value Reserve</t>
  </si>
  <si>
    <t xml:space="preserve">n/a  </t>
  </si>
  <si>
    <t xml:space="preserve">n/a </t>
  </si>
  <si>
    <t>Table 10</t>
  </si>
  <si>
    <t>(8)</t>
  </si>
  <si>
    <t>Present Value Factors as of December Assuming Payments at End of Each Year</t>
  </si>
  <si>
    <t>Expected Paid Losses in 99.5% Level Hindsight</t>
  </si>
  <si>
    <t>Expected Ending Capital Assets</t>
  </si>
  <si>
    <t>Expected Ending U/W + Capital Assets</t>
  </si>
  <si>
    <t>99.5% Level Ending Fair Value Reserve</t>
  </si>
  <si>
    <t>Expected Loss Payment Pattern</t>
  </si>
  <si>
    <t>Expected Loss Payments</t>
  </si>
  <si>
    <t>Adjustment Factor for Mid-Year Payments</t>
  </si>
  <si>
    <t>Forward Discount Factor for 1-Yr Money</t>
  </si>
  <si>
    <r>
      <t xml:space="preserve">PV of Unpaid Loss in </t>
    </r>
    <r>
      <rPr>
        <i/>
        <sz val="9"/>
        <rFont val="Symbol"/>
        <family val="1"/>
      </rPr>
      <t>a</t>
    </r>
    <r>
      <rPr>
        <i/>
        <sz val="9"/>
        <rFont val="Geneva"/>
        <family val="0"/>
      </rPr>
      <t xml:space="preserve"> </t>
    </r>
    <r>
      <rPr>
        <sz val="9"/>
        <rFont val="Geneva"/>
        <family val="0"/>
      </rPr>
      <t>Quantile Hindsight Estimate 1 Yr Out</t>
    </r>
  </si>
  <si>
    <r>
      <t xml:space="preserve">PV of Paid Loss in </t>
    </r>
    <r>
      <rPr>
        <i/>
        <sz val="9"/>
        <rFont val="Symbol"/>
        <family val="1"/>
      </rPr>
      <t>a</t>
    </r>
    <r>
      <rPr>
        <i/>
        <sz val="9"/>
        <rFont val="Geneva"/>
        <family val="0"/>
      </rPr>
      <t xml:space="preserve"> </t>
    </r>
    <r>
      <rPr>
        <sz val="9"/>
        <rFont val="Geneva"/>
        <family val="0"/>
      </rPr>
      <t>Quantile Hindsight Estimate 1 Yr Out</t>
    </r>
  </si>
  <si>
    <r>
      <t xml:space="preserve">Paid Loss in </t>
    </r>
    <r>
      <rPr>
        <i/>
        <sz val="9"/>
        <rFont val="Symbol"/>
        <family val="1"/>
      </rPr>
      <t>a</t>
    </r>
    <r>
      <rPr>
        <i/>
        <sz val="9"/>
        <rFont val="Geneva"/>
        <family val="0"/>
      </rPr>
      <t xml:space="preserve"> </t>
    </r>
    <r>
      <rPr>
        <sz val="9"/>
        <rFont val="Geneva"/>
        <family val="0"/>
      </rPr>
      <t>Quantile Hindsight Estimate 1 Yr Out</t>
    </r>
  </si>
  <si>
    <t>Tax Rate</t>
  </si>
  <si>
    <t>Target ROE</t>
  </si>
  <si>
    <t xml:space="preserve">n/a    </t>
  </si>
  <si>
    <t>Instructions</t>
  </si>
  <si>
    <t>Template for Calculations Described in Paper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</si>
</sst>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00000"/>
    <numFmt numFmtId="166" formatCode="#,##0.0_);[Red]\(#,##0.0\)"/>
    <numFmt numFmtId="167" formatCode="0.0000"/>
    <numFmt numFmtId="168" formatCode="#,##0.00000_);[Red]\(#,##0.00000\)"/>
    <numFmt numFmtId="169" formatCode="0.00000000000000000000"/>
    <numFmt numFmtId="170" formatCode="0.00000000"/>
    <numFmt numFmtId="171" formatCode="0.000000000000000"/>
    <numFmt numFmtId="172" formatCode="#,##0.0000000"/>
    <numFmt numFmtId="173" formatCode="#,##0.000000"/>
    <numFmt numFmtId="174" formatCode="0.000"/>
    <numFmt numFmtId="175" formatCode="0.0%"/>
    <numFmt numFmtId="176" formatCode="&quot;$&quot;#,##0.00"/>
    <numFmt numFmtId="177" formatCode="&quot;$&quot;#,##0.000"/>
    <numFmt numFmtId="178" formatCode="0.000000"/>
    <numFmt numFmtId="179" formatCode="0.0000000000"/>
    <numFmt numFmtId="180" formatCode="0.000000000"/>
    <numFmt numFmtId="181" formatCode="0.000000000000"/>
    <numFmt numFmtId="182" formatCode="0.0000000"/>
    <numFmt numFmtId="183" formatCode="&quot;$&quot;#,##0.0000000000"/>
    <numFmt numFmtId="184" formatCode="0.000000000000000000000000000000"/>
    <numFmt numFmtId="185" formatCode="0.0000000000000000000000000"/>
    <numFmt numFmtId="186" formatCode="0.000000000000000000000000000000;[Red]0.000000000000000000000000000000"/>
    <numFmt numFmtId="187" formatCode="#,##0.000000_);[Red]\(#,##0.000000\)"/>
    <numFmt numFmtId="188" formatCode="0.000000000000000%"/>
    <numFmt numFmtId="189" formatCode="&quot;$&quot;#,##0.0"/>
    <numFmt numFmtId="190" formatCode="0.000000000000000000%"/>
    <numFmt numFmtId="191" formatCode="[$-409]dddd\,\ mmmm\ dd\,\ yyyy"/>
    <numFmt numFmtId="192" formatCode="[$-409]h:mm:ss\ AM/PM"/>
    <numFmt numFmtId="193" formatCode="h:mm:ss;@"/>
    <numFmt numFmtId="194" formatCode="0.00000000000000%"/>
    <numFmt numFmtId="195" formatCode="#,##0.00000"/>
    <numFmt numFmtId="196" formatCode="[$-F400]h:mm:ss\ AM/PM"/>
    <numFmt numFmtId="197" formatCode="[$-409]h:mm\ AM/PM;@"/>
    <numFmt numFmtId="198" formatCode="#,##0.000000000"/>
    <numFmt numFmtId="199" formatCode="#,##0.0000"/>
    <numFmt numFmtId="200" formatCode="0.E+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00000000%"/>
    <numFmt numFmtId="206" formatCode="#,##0.00000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  <font>
      <i/>
      <sz val="9"/>
      <name val="Symbol"/>
      <family val="1"/>
    </font>
    <font>
      <u val="single"/>
      <sz val="9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2"/>
    </font>
    <font>
      <b/>
      <sz val="12"/>
      <name val="Genev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Continuous"/>
    </xf>
    <xf numFmtId="9" fontId="0" fillId="0" borderId="2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5" xfId="0" applyNumberFormat="1" applyBorder="1" applyAlignment="1">
      <alignment/>
    </xf>
    <xf numFmtId="38" fontId="0" fillId="0" borderId="0" xfId="0" applyNumberFormat="1" applyBorder="1" applyAlignment="1">
      <alignment/>
    </xf>
    <xf numFmtId="175" fontId="0" fillId="0" borderId="5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6" xfId="0" applyFont="1" applyBorder="1" applyAlignment="1">
      <alignment horizontal="center"/>
    </xf>
    <xf numFmtId="10" fontId="0" fillId="0" borderId="7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 horizontal="right"/>
    </xf>
    <xf numFmtId="3" fontId="0" fillId="0" borderId="7" xfId="0" applyNumberFormat="1" applyFill="1" applyBorder="1" applyAlignment="1">
      <alignment/>
    </xf>
    <xf numFmtId="38" fontId="0" fillId="0" borderId="8" xfId="0" applyNumberFormat="1" applyBorder="1" applyAlignment="1">
      <alignment/>
    </xf>
    <xf numFmtId="38" fontId="0" fillId="0" borderId="7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174" fontId="0" fillId="0" borderId="0" xfId="0" applyNumberFormat="1" applyAlignment="1">
      <alignment/>
    </xf>
    <xf numFmtId="1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75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40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6" xfId="0" applyNumberFormat="1" applyBorder="1" applyAlignment="1">
      <alignment horizontal="center" wrapText="1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75" fontId="0" fillId="0" borderId="7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6" fontId="0" fillId="0" borderId="0" xfId="0" applyNumberFormat="1" applyBorder="1" applyAlignment="1">
      <alignment/>
    </xf>
    <xf numFmtId="6" fontId="0" fillId="0" borderId="5" xfId="0" applyNumberForma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0" fontId="0" fillId="0" borderId="5" xfId="0" applyFont="1" applyBorder="1" applyAlignment="1">
      <alignment/>
    </xf>
    <xf numFmtId="6" fontId="0" fillId="0" borderId="7" xfId="0" applyNumberFormat="1" applyBorder="1" applyAlignment="1">
      <alignment/>
    </xf>
    <xf numFmtId="6" fontId="0" fillId="0" borderId="8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0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8" fontId="0" fillId="2" borderId="0" xfId="0" applyNumberFormat="1" applyFill="1" applyBorder="1" applyAlignment="1" applyProtection="1">
      <alignment/>
      <protection locked="0"/>
    </xf>
    <xf numFmtId="10" fontId="0" fillId="2" borderId="0" xfId="0" applyNumberFormat="1" applyFill="1" applyBorder="1" applyAlignment="1" applyProtection="1">
      <alignment/>
      <protection locked="0"/>
    </xf>
    <xf numFmtId="10" fontId="0" fillId="2" borderId="7" xfId="0" applyNumberFormat="1" applyFill="1" applyBorder="1" applyAlignment="1" applyProtection="1">
      <alignment/>
      <protection locked="0"/>
    </xf>
    <xf numFmtId="38" fontId="0" fillId="2" borderId="5" xfId="0" applyNumberFormat="1" applyFill="1" applyBorder="1" applyAlignment="1" applyProtection="1">
      <alignment/>
      <protection locked="0"/>
    </xf>
    <xf numFmtId="10" fontId="0" fillId="2" borderId="0" xfId="0" applyNumberFormat="1" applyFont="1" applyFill="1" applyBorder="1" applyAlignment="1" applyProtection="1">
      <alignment horizontal="center"/>
      <protection locked="0"/>
    </xf>
    <xf numFmtId="10" fontId="0" fillId="2" borderId="7" xfId="0" applyNumberFormat="1" applyFont="1" applyFill="1" applyBorder="1" applyAlignment="1" applyProtection="1">
      <alignment horizontal="center"/>
      <protection locked="0"/>
    </xf>
    <xf numFmtId="10" fontId="0" fillId="0" borderId="8" xfId="0" applyNumberForma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38" fontId="0" fillId="0" borderId="0" xfId="0" applyNumberFormat="1" applyAlignment="1">
      <alignment horizontal="centerContinuous"/>
    </xf>
    <xf numFmtId="0" fontId="12" fillId="0" borderId="0" xfId="0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9"/>
  <sheetViews>
    <sheetView tabSelected="1" workbookViewId="0" topLeftCell="A1">
      <selection activeCell="B5" sqref="B5"/>
    </sheetView>
  </sheetViews>
  <sheetFormatPr defaultColWidth="9.00390625" defaultRowHeight="12"/>
  <cols>
    <col min="1" max="1" width="10.25390625" style="0" customWidth="1"/>
    <col min="2" max="2" width="9.75390625" style="0" customWidth="1"/>
    <col min="3" max="3" width="9.25390625" style="0" customWidth="1"/>
    <col min="12" max="12" width="9.75390625" style="0" customWidth="1"/>
    <col min="13" max="13" width="9.625" style="0" customWidth="1"/>
    <col min="24" max="24" width="8.25390625" style="0" customWidth="1"/>
    <col min="44" max="44" width="10.25390625" style="0" customWidth="1"/>
    <col min="65" max="65" width="2.375" style="0" customWidth="1"/>
  </cols>
  <sheetData>
    <row r="1" spans="1:25" ht="15.75">
      <c r="A1" s="105"/>
      <c r="B1" s="105"/>
      <c r="C1" s="107" t="s">
        <v>66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5.75">
      <c r="A2" s="105"/>
      <c r="B2" s="105"/>
      <c r="C2" s="107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6" ht="12">
      <c r="A3" s="94" t="s">
        <v>65</v>
      </c>
      <c r="F3" s="1"/>
    </row>
    <row r="4" spans="4:23" ht="12">
      <c r="D4" s="104"/>
      <c r="E4" s="104"/>
      <c r="F4" s="10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6" ht="12">
      <c r="A5" t="s">
        <v>0</v>
      </c>
      <c r="B5" s="95">
        <v>2007</v>
      </c>
      <c r="F5" s="1"/>
    </row>
    <row r="6" spans="1:6" ht="12">
      <c r="A6" t="s">
        <v>62</v>
      </c>
      <c r="B6" s="96">
        <v>0.2</v>
      </c>
      <c r="F6" s="1"/>
    </row>
    <row r="7" spans="1:2" ht="12">
      <c r="A7" t="s">
        <v>63</v>
      </c>
      <c r="B7" s="96">
        <v>0.15</v>
      </c>
    </row>
    <row r="8" spans="1:2" ht="12">
      <c r="A8" t="s">
        <v>1</v>
      </c>
      <c r="B8" s="2">
        <f>1+B$7/(1-B$6)</f>
        <v>1.1875</v>
      </c>
    </row>
    <row r="10" spans="1:25" ht="12">
      <c r="A10" s="3" t="s">
        <v>2</v>
      </c>
      <c r="B10" s="4"/>
      <c r="C10" s="5"/>
      <c r="D10" s="5"/>
      <c r="E10" s="3" t="s">
        <v>3</v>
      </c>
      <c r="F10" s="4"/>
      <c r="G10" s="5"/>
      <c r="H10" s="6"/>
      <c r="I10" s="3" t="s">
        <v>4</v>
      </c>
      <c r="J10" s="5"/>
      <c r="K10" s="5"/>
      <c r="L10" s="5"/>
      <c r="M10" s="6"/>
      <c r="N10" s="7"/>
      <c r="O10" s="7"/>
      <c r="P10" s="7"/>
      <c r="Q10" s="7"/>
      <c r="R10" s="3" t="s">
        <v>5</v>
      </c>
      <c r="S10" s="4"/>
      <c r="T10" s="5"/>
      <c r="U10" s="6"/>
      <c r="V10" s="3" t="s">
        <v>6</v>
      </c>
      <c r="W10" s="4"/>
      <c r="X10" s="5"/>
      <c r="Y10" s="6"/>
    </row>
    <row r="11" spans="1:26" ht="12">
      <c r="A11" s="8" t="s">
        <v>7</v>
      </c>
      <c r="B11" s="9" t="s">
        <v>8</v>
      </c>
      <c r="C11" s="9" t="s">
        <v>9</v>
      </c>
      <c r="D11" s="9" t="s">
        <v>10</v>
      </c>
      <c r="E11" s="8" t="s">
        <v>7</v>
      </c>
      <c r="F11" s="9" t="s">
        <v>8</v>
      </c>
      <c r="G11" s="9" t="s">
        <v>9</v>
      </c>
      <c r="H11" s="9" t="s">
        <v>10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1" t="s">
        <v>12</v>
      </c>
      <c r="O11" s="11"/>
      <c r="P11" s="11"/>
      <c r="Q11" s="11"/>
      <c r="R11" s="8" t="s">
        <v>7</v>
      </c>
      <c r="S11" s="9" t="s">
        <v>8</v>
      </c>
      <c r="T11" s="9" t="s">
        <v>9</v>
      </c>
      <c r="U11" s="9" t="s">
        <v>10</v>
      </c>
      <c r="V11" s="8" t="s">
        <v>7</v>
      </c>
      <c r="W11" s="9" t="s">
        <v>8</v>
      </c>
      <c r="X11" s="9" t="s">
        <v>9</v>
      </c>
      <c r="Y11" s="10" t="s">
        <v>10</v>
      </c>
      <c r="Z11" s="9"/>
    </row>
    <row r="12" spans="1:26" ht="84">
      <c r="A12" s="14" t="s">
        <v>13</v>
      </c>
      <c r="B12" s="12" t="s">
        <v>14</v>
      </c>
      <c r="C12" s="12" t="s">
        <v>15</v>
      </c>
      <c r="D12" s="13" t="s">
        <v>16</v>
      </c>
      <c r="E12" s="14" t="s">
        <v>17</v>
      </c>
      <c r="F12" s="12" t="s">
        <v>18</v>
      </c>
      <c r="G12" s="12" t="s">
        <v>19</v>
      </c>
      <c r="H12" s="15" t="s">
        <v>20</v>
      </c>
      <c r="I12" s="14" t="str">
        <f aca="true" t="shared" si="0" ref="I12:I23">E12</f>
        <v>Year Ending December</v>
      </c>
      <c r="J12" s="12" t="str">
        <f aca="true" t="shared" si="1" ref="J12:J23">H12</f>
        <v>Expected PV of Unpaid Losses</v>
      </c>
      <c r="K12" s="12" t="s">
        <v>21</v>
      </c>
      <c r="L12" s="16" t="s">
        <v>22</v>
      </c>
      <c r="M12" s="17" t="s">
        <v>59</v>
      </c>
      <c r="N12" s="16"/>
      <c r="O12" s="18" t="s">
        <v>60</v>
      </c>
      <c r="P12" s="18" t="s">
        <v>61</v>
      </c>
      <c r="Q12" s="16"/>
      <c r="R12" s="14" t="s">
        <v>17</v>
      </c>
      <c r="S12" s="12" t="str">
        <f aca="true" t="shared" si="2" ref="S12:S23">K12</f>
        <v>PV Expected Unpaid Loss 1 Yr Out</v>
      </c>
      <c r="T12" s="12" t="str">
        <f aca="true" t="shared" si="3" ref="T12:T23">L12</f>
        <v> PV of 99.5% Quantile Hindsight Estimate 1 Yr Out</v>
      </c>
      <c r="U12" s="15" t="s">
        <v>23</v>
      </c>
      <c r="V12" s="14" t="s">
        <v>17</v>
      </c>
      <c r="W12" s="12" t="s">
        <v>24</v>
      </c>
      <c r="X12" s="12" t="str">
        <f>T12</f>
        <v> PV of 99.5% Quantile Hindsight Estimate 1 Yr Out</v>
      </c>
      <c r="Y12" s="15" t="s">
        <v>25</v>
      </c>
      <c r="Z12" s="12"/>
    </row>
    <row r="13" spans="1:26" ht="12">
      <c r="A13" s="19">
        <v>1</v>
      </c>
      <c r="B13" s="98">
        <v>0.0334</v>
      </c>
      <c r="C13" s="20">
        <f>B13</f>
        <v>0.0334</v>
      </c>
      <c r="D13" s="21">
        <f aca="true" t="shared" si="4" ref="D13:D22">1/(1+C13)</f>
        <v>0.9676795045480936</v>
      </c>
      <c r="E13" s="22">
        <f>B5</f>
        <v>2007</v>
      </c>
      <c r="F13" s="97">
        <v>10000</v>
      </c>
      <c r="G13" s="23"/>
      <c r="H13" s="24">
        <f>N58</f>
        <v>9147.559852684124</v>
      </c>
      <c r="I13" s="22">
        <f t="shared" si="0"/>
        <v>2007</v>
      </c>
      <c r="J13" s="25">
        <f t="shared" si="1"/>
        <v>9147.559852684124</v>
      </c>
      <c r="K13" s="25">
        <f aca="true" t="shared" si="5" ref="K13:K23">J13*(1+C13)</f>
        <v>9453.088351763774</v>
      </c>
      <c r="L13" s="97">
        <v>11066.685243026865</v>
      </c>
      <c r="M13" s="100">
        <v>7839.692726657251</v>
      </c>
      <c r="N13" s="25"/>
      <c r="O13" s="1">
        <f aca="true" t="shared" si="6" ref="O13:O22">L13-M13</f>
        <v>3226.9925163696134</v>
      </c>
      <c r="P13" s="1">
        <f aca="true" t="shared" si="7" ref="P13:P22">O13/(1+0.5*C13)</f>
        <v>3173.986934562421</v>
      </c>
      <c r="Q13" s="25"/>
      <c r="R13" s="22">
        <f>I13</f>
        <v>2007</v>
      </c>
      <c r="S13" s="1">
        <f t="shared" si="2"/>
        <v>9453.088351763774</v>
      </c>
      <c r="T13" s="1">
        <f t="shared" si="3"/>
        <v>11066.685243026865</v>
      </c>
      <c r="U13" s="1">
        <f aca="true" t="shared" si="8" ref="U13:U22">T13-S13</f>
        <v>1613.5968912630906</v>
      </c>
      <c r="V13" s="22">
        <f>R13</f>
        <v>2007</v>
      </c>
      <c r="W13" s="25">
        <f aca="true" t="shared" si="9" ref="W13:W22">H14</f>
        <v>6566.24415282046</v>
      </c>
      <c r="X13" s="25">
        <f aca="true" t="shared" si="10" ref="X13:X22">M13</f>
        <v>7839.692726657251</v>
      </c>
      <c r="Y13" s="26">
        <f aca="true" t="shared" si="11" ref="Y13:Y21">X13/W13-1</f>
        <v>0.1939386571986963</v>
      </c>
      <c r="Z13" s="1"/>
    </row>
    <row r="14" spans="1:26" ht="12">
      <c r="A14" s="19">
        <f aca="true" t="shared" si="12" ref="A14:A23">1+A13</f>
        <v>2</v>
      </c>
      <c r="B14" s="98">
        <v>0.0305</v>
      </c>
      <c r="C14" s="20">
        <f aca="true" t="shared" si="13" ref="C14:C22">(1+B14)^A14/(1+B13)^A13-1</f>
        <v>0.027608138184632924</v>
      </c>
      <c r="D14" s="21">
        <f t="shared" si="4"/>
        <v>0.9731335932844933</v>
      </c>
      <c r="E14" s="22">
        <f aca="true" t="shared" si="14" ref="E14:E23">E13+1</f>
        <v>2008</v>
      </c>
      <c r="F14" s="25">
        <f aca="true" t="shared" si="15" ref="F14:F23">F13-G14</f>
        <v>7160.574211720945</v>
      </c>
      <c r="G14" s="27">
        <f aca="true" t="shared" si="16" ref="G14:G23">L47</f>
        <v>2839.4257882790553</v>
      </c>
      <c r="H14" s="24">
        <f>O58</f>
        <v>6566.24415282046</v>
      </c>
      <c r="I14" s="22">
        <f t="shared" si="0"/>
        <v>2008</v>
      </c>
      <c r="J14" s="25">
        <f t="shared" si="1"/>
        <v>6566.24415282046</v>
      </c>
      <c r="K14" s="25">
        <f t="shared" si="5"/>
        <v>6747.525928745566</v>
      </c>
      <c r="L14" s="97">
        <v>8186.3437507367435</v>
      </c>
      <c r="M14" s="100">
        <v>5847.22669021</v>
      </c>
      <c r="N14" s="25"/>
      <c r="O14" s="1">
        <f t="shared" si="6"/>
        <v>2339.1170605267434</v>
      </c>
      <c r="P14" s="1">
        <f t="shared" si="7"/>
        <v>2307.267382168837</v>
      </c>
      <c r="Q14" s="25"/>
      <c r="R14" s="22">
        <f aca="true" t="shared" si="17" ref="R14:R23">R13+1</f>
        <v>2008</v>
      </c>
      <c r="S14" s="1">
        <f t="shared" si="2"/>
        <v>6747.525928745566</v>
      </c>
      <c r="T14" s="1">
        <f t="shared" si="3"/>
        <v>8186.3437507367435</v>
      </c>
      <c r="U14" s="1">
        <f t="shared" si="8"/>
        <v>1438.8178219911779</v>
      </c>
      <c r="V14" s="22">
        <f aca="true" t="shared" si="18" ref="V14:V22">V13+1</f>
        <v>2008</v>
      </c>
      <c r="W14" s="25">
        <f t="shared" si="9"/>
        <v>4663.6592522985375</v>
      </c>
      <c r="X14" s="25">
        <f t="shared" si="10"/>
        <v>5847.22669021</v>
      </c>
      <c r="Y14" s="26">
        <f t="shared" si="11"/>
        <v>0.2537851446432602</v>
      </c>
      <c r="Z14" s="1"/>
    </row>
    <row r="15" spans="1:26" ht="12">
      <c r="A15" s="19">
        <f t="shared" si="12"/>
        <v>3</v>
      </c>
      <c r="B15" s="98">
        <v>0.0307</v>
      </c>
      <c r="C15" s="20">
        <f t="shared" si="13"/>
        <v>0.031100116455859528</v>
      </c>
      <c r="D15" s="21">
        <f t="shared" si="4"/>
        <v>0.9698379275110954</v>
      </c>
      <c r="E15" s="22">
        <f t="shared" si="14"/>
        <v>2009</v>
      </c>
      <c r="F15" s="25">
        <f t="shared" si="15"/>
        <v>5105.081695979945</v>
      </c>
      <c r="G15" s="27">
        <f t="shared" si="16"/>
        <v>2055.492515741</v>
      </c>
      <c r="H15" s="24">
        <f>P58</f>
        <v>4663.6592522985375</v>
      </c>
      <c r="I15" s="22">
        <f t="shared" si="0"/>
        <v>2009</v>
      </c>
      <c r="J15" s="25">
        <f t="shared" si="1"/>
        <v>4663.6592522985375</v>
      </c>
      <c r="K15" s="25">
        <f t="shared" si="5"/>
        <v>4808.699598155469</v>
      </c>
      <c r="L15" s="97">
        <v>6189.369894605092</v>
      </c>
      <c r="M15" s="100">
        <v>4294.2684947662465</v>
      </c>
      <c r="N15" s="25"/>
      <c r="O15" s="1">
        <f t="shared" si="6"/>
        <v>1895.1013998388453</v>
      </c>
      <c r="P15" s="1">
        <f t="shared" si="7"/>
        <v>1866.0836898042</v>
      </c>
      <c r="Q15" s="25"/>
      <c r="R15" s="22">
        <f t="shared" si="17"/>
        <v>2009</v>
      </c>
      <c r="S15" s="1">
        <f t="shared" si="2"/>
        <v>4808.699598155469</v>
      </c>
      <c r="T15" s="1">
        <f t="shared" si="3"/>
        <v>6189.369894605092</v>
      </c>
      <c r="U15" s="1">
        <f t="shared" si="8"/>
        <v>1380.6702964496226</v>
      </c>
      <c r="V15" s="22">
        <f t="shared" si="18"/>
        <v>2009</v>
      </c>
      <c r="W15" s="25">
        <f t="shared" si="9"/>
        <v>3247.252576862237</v>
      </c>
      <c r="X15" s="25">
        <f t="shared" si="10"/>
        <v>4294.2684947662465</v>
      </c>
      <c r="Y15" s="26">
        <f t="shared" si="11"/>
        <v>0.3224313148180553</v>
      </c>
      <c r="Z15" s="1"/>
    </row>
    <row r="16" spans="1:26" ht="12">
      <c r="A16" s="19">
        <f t="shared" si="12"/>
        <v>4</v>
      </c>
      <c r="B16" s="98">
        <v>0.0325</v>
      </c>
      <c r="C16" s="20">
        <f t="shared" si="13"/>
        <v>0.03791888293688128</v>
      </c>
      <c r="D16" s="21">
        <f t="shared" si="4"/>
        <v>0.9634664292554477</v>
      </c>
      <c r="E16" s="22">
        <f t="shared" si="14"/>
        <v>2010</v>
      </c>
      <c r="F16" s="25">
        <f t="shared" si="15"/>
        <v>3567.5434834196926</v>
      </c>
      <c r="G16" s="27">
        <f t="shared" si="16"/>
        <v>1537.5382125602523</v>
      </c>
      <c r="H16" s="24">
        <f>Q58</f>
        <v>3247.252576862237</v>
      </c>
      <c r="I16" s="22">
        <f t="shared" si="0"/>
        <v>2010</v>
      </c>
      <c r="J16" s="25">
        <f t="shared" si="1"/>
        <v>3247.252576862237</v>
      </c>
      <c r="K16" s="25">
        <f t="shared" si="5"/>
        <v>3370.3847671907624</v>
      </c>
      <c r="L16" s="97">
        <v>4857.0310577590535</v>
      </c>
      <c r="M16" s="100">
        <v>3359.1959084381306</v>
      </c>
      <c r="N16" s="25"/>
      <c r="O16" s="1">
        <f t="shared" si="6"/>
        <v>1497.835149320923</v>
      </c>
      <c r="P16" s="1">
        <f t="shared" si="7"/>
        <v>1469.965425868537</v>
      </c>
      <c r="Q16" s="25"/>
      <c r="R16" s="22">
        <f t="shared" si="17"/>
        <v>2010</v>
      </c>
      <c r="S16" s="1">
        <f t="shared" si="2"/>
        <v>3370.3847671907624</v>
      </c>
      <c r="T16" s="1">
        <f t="shared" si="3"/>
        <v>4857.0310577590535</v>
      </c>
      <c r="U16" s="1">
        <f t="shared" si="8"/>
        <v>1486.646290568291</v>
      </c>
      <c r="V16" s="22">
        <f t="shared" si="18"/>
        <v>2010</v>
      </c>
      <c r="W16" s="25">
        <f t="shared" si="9"/>
        <v>2249.4647253219814</v>
      </c>
      <c r="X16" s="25">
        <f t="shared" si="10"/>
        <v>3359.1959084381306</v>
      </c>
      <c r="Y16" s="26">
        <f t="shared" si="11"/>
        <v>0.49333122258998996</v>
      </c>
      <c r="Z16" s="1"/>
    </row>
    <row r="17" spans="1:26" ht="12">
      <c r="A17" s="19">
        <f t="shared" si="12"/>
        <v>5</v>
      </c>
      <c r="B17" s="98">
        <v>0.0345</v>
      </c>
      <c r="C17" s="20">
        <f t="shared" si="13"/>
        <v>0.04253881603575027</v>
      </c>
      <c r="D17" s="21">
        <f t="shared" si="4"/>
        <v>0.9591968995480629</v>
      </c>
      <c r="E17" s="22">
        <f t="shared" si="14"/>
        <v>2011</v>
      </c>
      <c r="F17" s="25">
        <f t="shared" si="15"/>
        <v>2467.48003020373</v>
      </c>
      <c r="G17" s="27">
        <f t="shared" si="16"/>
        <v>1100.0634532159625</v>
      </c>
      <c r="H17" s="24">
        <f>R58</f>
        <v>2249.4647253219814</v>
      </c>
      <c r="I17" s="22">
        <f t="shared" si="0"/>
        <v>2011</v>
      </c>
      <c r="J17" s="25">
        <f t="shared" si="1"/>
        <v>2249.4647253219814</v>
      </c>
      <c r="K17" s="25">
        <f t="shared" si="5"/>
        <v>2345.1542914513625</v>
      </c>
      <c r="L17" s="97">
        <v>3427.0974854979604</v>
      </c>
      <c r="M17" s="100">
        <v>2394.814812889864</v>
      </c>
      <c r="N17" s="25"/>
      <c r="O17" s="1">
        <f t="shared" si="6"/>
        <v>1032.2826726080966</v>
      </c>
      <c r="P17" s="1">
        <f t="shared" si="7"/>
        <v>1010.7838974748067</v>
      </c>
      <c r="Q17" s="25"/>
      <c r="R17" s="22">
        <f t="shared" si="17"/>
        <v>2011</v>
      </c>
      <c r="S17" s="1">
        <f t="shared" si="2"/>
        <v>2345.1542914513625</v>
      </c>
      <c r="T17" s="1">
        <f t="shared" si="3"/>
        <v>3427.0974854979604</v>
      </c>
      <c r="U17" s="1">
        <f t="shared" si="8"/>
        <v>1081.943194046598</v>
      </c>
      <c r="V17" s="22">
        <f t="shared" si="18"/>
        <v>2011</v>
      </c>
      <c r="W17" s="25">
        <f t="shared" si="9"/>
        <v>1578.852821826445</v>
      </c>
      <c r="X17" s="25">
        <f t="shared" si="10"/>
        <v>2394.814812889864</v>
      </c>
      <c r="Y17" s="26">
        <f t="shared" si="11"/>
        <v>0.5168068738158249</v>
      </c>
      <c r="Z17" s="1"/>
    </row>
    <row r="18" spans="1:26" ht="12">
      <c r="A18" s="19">
        <f t="shared" si="12"/>
        <v>6</v>
      </c>
      <c r="B18" s="98">
        <v>0.0357</v>
      </c>
      <c r="C18" s="20">
        <f t="shared" si="13"/>
        <v>0.04172091197343741</v>
      </c>
      <c r="D18" s="21">
        <f t="shared" si="4"/>
        <v>0.9599500101285273</v>
      </c>
      <c r="E18" s="22">
        <f t="shared" si="14"/>
        <v>2012</v>
      </c>
      <c r="F18" s="25">
        <f t="shared" si="15"/>
        <v>1717.1378936345075</v>
      </c>
      <c r="G18" s="27">
        <f t="shared" si="16"/>
        <v>750.3421365692227</v>
      </c>
      <c r="H18" s="24">
        <f>S58</f>
        <v>1578.852821826445</v>
      </c>
      <c r="I18" s="22">
        <f t="shared" si="0"/>
        <v>2012</v>
      </c>
      <c r="J18" s="25">
        <f t="shared" si="1"/>
        <v>1578.852821826445</v>
      </c>
      <c r="K18" s="25">
        <f t="shared" si="5"/>
        <v>1644.7240014248794</v>
      </c>
      <c r="L18" s="97">
        <v>2590.8198490907807</v>
      </c>
      <c r="M18" s="100">
        <v>1796.8426109814834</v>
      </c>
      <c r="N18" s="25"/>
      <c r="O18" s="1">
        <f t="shared" si="6"/>
        <v>793.9772381092973</v>
      </c>
      <c r="P18" s="1">
        <f t="shared" si="7"/>
        <v>777.7529567857283</v>
      </c>
      <c r="Q18" s="25"/>
      <c r="R18" s="22">
        <f t="shared" si="17"/>
        <v>2012</v>
      </c>
      <c r="S18" s="1">
        <f t="shared" si="2"/>
        <v>1644.7240014248794</v>
      </c>
      <c r="T18" s="1">
        <f t="shared" si="3"/>
        <v>2590.8198490907807</v>
      </c>
      <c r="U18" s="1">
        <f t="shared" si="8"/>
        <v>946.0958476659014</v>
      </c>
      <c r="V18" s="22">
        <f t="shared" si="18"/>
        <v>2012</v>
      </c>
      <c r="W18" s="25">
        <f t="shared" si="9"/>
        <v>1122.6072274986634</v>
      </c>
      <c r="X18" s="25">
        <f t="shared" si="10"/>
        <v>1796.8426109814834</v>
      </c>
      <c r="Y18" s="26">
        <f t="shared" si="11"/>
        <v>0.6005977575835826</v>
      </c>
      <c r="Z18" s="1"/>
    </row>
    <row r="19" spans="1:26" ht="12">
      <c r="A19" s="19">
        <f t="shared" si="12"/>
        <v>7</v>
      </c>
      <c r="B19" s="98">
        <v>0.037</v>
      </c>
      <c r="C19" s="20">
        <f t="shared" si="13"/>
        <v>0.04483433845489304</v>
      </c>
      <c r="D19" s="21">
        <f t="shared" si="4"/>
        <v>0.9570895243343607</v>
      </c>
      <c r="E19" s="22">
        <f t="shared" si="14"/>
        <v>2013</v>
      </c>
      <c r="F19" s="25">
        <f t="shared" si="15"/>
        <v>1205.6901527955688</v>
      </c>
      <c r="G19" s="27">
        <f t="shared" si="16"/>
        <v>511.44774083893867</v>
      </c>
      <c r="H19" s="24">
        <f>T58</f>
        <v>1122.6072274986634</v>
      </c>
      <c r="I19" s="22">
        <f t="shared" si="0"/>
        <v>2013</v>
      </c>
      <c r="J19" s="25">
        <f t="shared" si="1"/>
        <v>1122.6072274986634</v>
      </c>
      <c r="K19" s="25">
        <f t="shared" si="5"/>
        <v>1172.9385798882477</v>
      </c>
      <c r="L19" s="97">
        <v>1819.1427887874388</v>
      </c>
      <c r="M19" s="100">
        <v>1125.1911927942947</v>
      </c>
      <c r="N19" s="25"/>
      <c r="O19" s="1">
        <f t="shared" si="6"/>
        <v>693.9515959931441</v>
      </c>
      <c r="P19" s="1">
        <f t="shared" si="7"/>
        <v>678.7362506025834</v>
      </c>
      <c r="Q19" s="25"/>
      <c r="R19" s="22">
        <f t="shared" si="17"/>
        <v>2013</v>
      </c>
      <c r="S19" s="1">
        <f t="shared" si="2"/>
        <v>1172.9385798882477</v>
      </c>
      <c r="T19" s="1">
        <f t="shared" si="3"/>
        <v>1819.1427887874388</v>
      </c>
      <c r="U19" s="1">
        <f t="shared" si="8"/>
        <v>646.2042088991911</v>
      </c>
      <c r="V19" s="22">
        <f t="shared" si="18"/>
        <v>2013</v>
      </c>
      <c r="W19" s="25">
        <f t="shared" si="9"/>
        <v>709.2348011018009</v>
      </c>
      <c r="X19" s="25">
        <f t="shared" si="10"/>
        <v>1125.1911927942947</v>
      </c>
      <c r="Y19" s="26">
        <f t="shared" si="11"/>
        <v>0.5864861552849674</v>
      </c>
      <c r="Z19" s="1"/>
    </row>
    <row r="20" spans="1:26" ht="12">
      <c r="A20" s="19">
        <f t="shared" si="12"/>
        <v>8</v>
      </c>
      <c r="B20" s="98">
        <v>0.0381</v>
      </c>
      <c r="C20" s="20">
        <f t="shared" si="13"/>
        <v>0.04583274057083142</v>
      </c>
      <c r="D20" s="21">
        <f t="shared" si="4"/>
        <v>0.9561758407507732</v>
      </c>
      <c r="E20" s="22">
        <f t="shared" si="14"/>
        <v>2014</v>
      </c>
      <c r="F20" s="25">
        <f t="shared" si="15"/>
        <v>752.1533844949853</v>
      </c>
      <c r="G20" s="27">
        <f t="shared" si="16"/>
        <v>453.5367683005835</v>
      </c>
      <c r="H20" s="24">
        <f>U58</f>
        <v>709.2348011018009</v>
      </c>
      <c r="I20" s="22">
        <f t="shared" si="0"/>
        <v>2014</v>
      </c>
      <c r="J20" s="25">
        <f t="shared" si="1"/>
        <v>709.2348011018009</v>
      </c>
      <c r="K20" s="25">
        <f t="shared" si="5"/>
        <v>741.740975744505</v>
      </c>
      <c r="L20" s="97">
        <v>1256.5742075651353</v>
      </c>
      <c r="M20" s="100">
        <v>668.0281664865184</v>
      </c>
      <c r="N20" s="25"/>
      <c r="O20" s="1">
        <f t="shared" si="6"/>
        <v>588.5460410786169</v>
      </c>
      <c r="P20" s="1">
        <f t="shared" si="7"/>
        <v>575.360858595312</v>
      </c>
      <c r="Q20" s="25"/>
      <c r="R20" s="22">
        <f t="shared" si="17"/>
        <v>2014</v>
      </c>
      <c r="S20" s="1">
        <f t="shared" si="2"/>
        <v>741.740975744505</v>
      </c>
      <c r="T20" s="1">
        <f t="shared" si="3"/>
        <v>1256.5742075651353</v>
      </c>
      <c r="U20" s="1">
        <f t="shared" si="8"/>
        <v>514.8332318206303</v>
      </c>
      <c r="V20" s="22">
        <f t="shared" si="18"/>
        <v>2014</v>
      </c>
      <c r="W20" s="25">
        <f t="shared" si="9"/>
        <v>424.9114869727989</v>
      </c>
      <c r="X20" s="25">
        <f t="shared" si="10"/>
        <v>668.0281664865184</v>
      </c>
      <c r="Y20" s="26">
        <f t="shared" si="11"/>
        <v>0.5721584070267389</v>
      </c>
      <c r="Z20" s="1"/>
    </row>
    <row r="21" spans="1:26" ht="12">
      <c r="A21" s="19">
        <f t="shared" si="12"/>
        <v>9</v>
      </c>
      <c r="B21" s="98">
        <v>0.0392</v>
      </c>
      <c r="C21" s="20">
        <f t="shared" si="13"/>
        <v>0.04804206518829801</v>
      </c>
      <c r="D21" s="21">
        <f t="shared" si="4"/>
        <v>0.9541601746875814</v>
      </c>
      <c r="E21" s="22">
        <f t="shared" si="14"/>
        <v>2015</v>
      </c>
      <c r="F21" s="25">
        <f t="shared" si="15"/>
        <v>442.4218189679777</v>
      </c>
      <c r="G21" s="27">
        <f t="shared" si="16"/>
        <v>309.7315655270076</v>
      </c>
      <c r="H21" s="24">
        <f>V58</f>
        <v>424.9114869727989</v>
      </c>
      <c r="I21" s="22">
        <f t="shared" si="0"/>
        <v>2015</v>
      </c>
      <c r="J21" s="25">
        <f t="shared" si="1"/>
        <v>424.9114869727989</v>
      </c>
      <c r="K21" s="25">
        <f t="shared" si="5"/>
        <v>445.32511232920274</v>
      </c>
      <c r="L21" s="97">
        <v>803.2287457207473</v>
      </c>
      <c r="M21" s="100">
        <v>241.49638539475734</v>
      </c>
      <c r="N21" s="25"/>
      <c r="O21" s="1">
        <f t="shared" si="6"/>
        <v>561.7323603259899</v>
      </c>
      <c r="P21" s="1">
        <f t="shared" si="7"/>
        <v>548.5554909970504</v>
      </c>
      <c r="Q21" s="25"/>
      <c r="R21" s="22">
        <f t="shared" si="17"/>
        <v>2015</v>
      </c>
      <c r="S21" s="1">
        <f t="shared" si="2"/>
        <v>445.32511232920274</v>
      </c>
      <c r="T21" s="1">
        <f t="shared" si="3"/>
        <v>803.2287457207473</v>
      </c>
      <c r="U21" s="1">
        <f t="shared" si="8"/>
        <v>357.90363339154453</v>
      </c>
      <c r="V21" s="22">
        <f t="shared" si="18"/>
        <v>2015</v>
      </c>
      <c r="W21" s="25">
        <f t="shared" si="9"/>
        <v>155.69066702734497</v>
      </c>
      <c r="X21" s="25">
        <f t="shared" si="10"/>
        <v>241.49638539475734</v>
      </c>
      <c r="Y21" s="26">
        <f t="shared" si="11"/>
        <v>0.5511294928959469</v>
      </c>
      <c r="Z21" s="1"/>
    </row>
    <row r="22" spans="1:26" ht="12">
      <c r="A22" s="19">
        <f t="shared" si="12"/>
        <v>10</v>
      </c>
      <c r="B22" s="98">
        <v>0.0404</v>
      </c>
      <c r="C22" s="21">
        <f t="shared" si="13"/>
        <v>0.05126254805801511</v>
      </c>
      <c r="D22" s="21">
        <f t="shared" si="4"/>
        <v>0.9512371594016055</v>
      </c>
      <c r="E22" s="22">
        <f t="shared" si="14"/>
        <v>2016</v>
      </c>
      <c r="F22" s="25">
        <f t="shared" si="15"/>
        <v>159.5814904171785</v>
      </c>
      <c r="G22" s="27">
        <f t="shared" si="16"/>
        <v>282.8403285507992</v>
      </c>
      <c r="H22" s="24">
        <f>W58</f>
        <v>155.69066702734497</v>
      </c>
      <c r="I22" s="22">
        <f t="shared" si="0"/>
        <v>2016</v>
      </c>
      <c r="J22" s="25">
        <f t="shared" si="1"/>
        <v>155.69066702734497</v>
      </c>
      <c r="K22" s="25">
        <f t="shared" si="5"/>
        <v>163.67176732801866</v>
      </c>
      <c r="L22" s="97">
        <v>291.75149467206785</v>
      </c>
      <c r="M22" s="100">
        <v>0</v>
      </c>
      <c r="N22" s="25"/>
      <c r="O22" s="1">
        <f t="shared" si="6"/>
        <v>291.75149467206785</v>
      </c>
      <c r="P22" s="1">
        <f t="shared" si="7"/>
        <v>284.46041190414826</v>
      </c>
      <c r="Q22" s="25"/>
      <c r="R22" s="22">
        <f t="shared" si="17"/>
        <v>2016</v>
      </c>
      <c r="S22" s="1">
        <f t="shared" si="2"/>
        <v>163.67176732801866</v>
      </c>
      <c r="T22" s="1">
        <f t="shared" si="3"/>
        <v>291.75149467206785</v>
      </c>
      <c r="U22" s="1">
        <f t="shared" si="8"/>
        <v>128.0797273440492</v>
      </c>
      <c r="V22" s="30">
        <f t="shared" si="18"/>
        <v>2016</v>
      </c>
      <c r="W22" s="31">
        <f t="shared" si="9"/>
        <v>0</v>
      </c>
      <c r="X22" s="31">
        <f t="shared" si="10"/>
        <v>0</v>
      </c>
      <c r="Y22" s="32" t="s">
        <v>64</v>
      </c>
      <c r="Z22" s="1"/>
    </row>
    <row r="23" spans="1:26" ht="12">
      <c r="A23" s="28">
        <f t="shared" si="12"/>
        <v>11</v>
      </c>
      <c r="B23" s="99">
        <v>0.0408</v>
      </c>
      <c r="C23" s="29"/>
      <c r="D23" s="103"/>
      <c r="E23" s="30">
        <f t="shared" si="14"/>
        <v>2017</v>
      </c>
      <c r="F23" s="31">
        <f t="shared" si="15"/>
        <v>0</v>
      </c>
      <c r="G23" s="33">
        <f t="shared" si="16"/>
        <v>159.5814904171785</v>
      </c>
      <c r="H23" s="34">
        <f>X59</f>
        <v>0</v>
      </c>
      <c r="I23" s="30">
        <f t="shared" si="0"/>
        <v>2017</v>
      </c>
      <c r="J23" s="31">
        <f t="shared" si="1"/>
        <v>0</v>
      </c>
      <c r="K23" s="31">
        <f t="shared" si="5"/>
        <v>0</v>
      </c>
      <c r="L23" s="35" t="s">
        <v>47</v>
      </c>
      <c r="M23" s="32" t="s">
        <v>47</v>
      </c>
      <c r="N23" s="35"/>
      <c r="O23" s="35"/>
      <c r="P23" s="35"/>
      <c r="Q23" s="35"/>
      <c r="R23" s="30">
        <f t="shared" si="17"/>
        <v>2017</v>
      </c>
      <c r="S23" s="31">
        <f t="shared" si="2"/>
        <v>0</v>
      </c>
      <c r="T23" s="35" t="str">
        <f t="shared" si="3"/>
        <v>n/a </v>
      </c>
      <c r="U23" s="32" t="str">
        <f>M23</f>
        <v>n/a </v>
      </c>
      <c r="Z23" s="36"/>
    </row>
    <row r="27" spans="1:35" ht="12">
      <c r="A27" s="3" t="s">
        <v>26</v>
      </c>
      <c r="B27" s="5"/>
      <c r="C27" s="5"/>
      <c r="D27" s="5"/>
      <c r="E27" s="5"/>
      <c r="F27" s="37"/>
      <c r="G27" s="38"/>
      <c r="H27" s="3" t="s">
        <v>27</v>
      </c>
      <c r="I27" s="4"/>
      <c r="J27" s="5"/>
      <c r="K27" s="6"/>
      <c r="L27" s="3" t="s">
        <v>28</v>
      </c>
      <c r="M27" s="5"/>
      <c r="N27" s="5"/>
      <c r="O27" s="5"/>
      <c r="P27" s="5"/>
      <c r="Q27" s="5"/>
      <c r="R27" s="6"/>
      <c r="S27" s="39" t="s">
        <v>29</v>
      </c>
      <c r="T27" s="40"/>
      <c r="U27" s="40"/>
      <c r="V27" s="40"/>
      <c r="W27" s="40"/>
      <c r="X27" s="40"/>
      <c r="Y27" s="41"/>
      <c r="AH27" s="18"/>
      <c r="AI27" s="18"/>
    </row>
    <row r="28" spans="1:36" ht="12">
      <c r="A28" s="8" t="s">
        <v>7</v>
      </c>
      <c r="B28" s="9" t="s">
        <v>8</v>
      </c>
      <c r="C28" s="9" t="s">
        <v>9</v>
      </c>
      <c r="D28" s="9" t="s">
        <v>10</v>
      </c>
      <c r="E28" s="9" t="s">
        <v>11</v>
      </c>
      <c r="F28" s="9" t="s">
        <v>30</v>
      </c>
      <c r="G28" s="10" t="s">
        <v>31</v>
      </c>
      <c r="H28" s="8" t="s">
        <v>7</v>
      </c>
      <c r="I28" s="9" t="s">
        <v>8</v>
      </c>
      <c r="J28" s="9" t="s">
        <v>9</v>
      </c>
      <c r="K28" s="10" t="s">
        <v>10</v>
      </c>
      <c r="L28" s="8" t="s">
        <v>7</v>
      </c>
      <c r="M28" s="9" t="s">
        <v>8</v>
      </c>
      <c r="N28" s="9" t="s">
        <v>9</v>
      </c>
      <c r="O28" s="9" t="s">
        <v>10</v>
      </c>
      <c r="P28" s="9" t="s">
        <v>11</v>
      </c>
      <c r="Q28" s="9" t="s">
        <v>30</v>
      </c>
      <c r="R28" s="10" t="s">
        <v>31</v>
      </c>
      <c r="S28" s="8" t="s">
        <v>7</v>
      </c>
      <c r="T28" s="9" t="s">
        <v>8</v>
      </c>
      <c r="U28" s="9" t="s">
        <v>9</v>
      </c>
      <c r="V28" s="9" t="s">
        <v>10</v>
      </c>
      <c r="W28" s="9" t="s">
        <v>11</v>
      </c>
      <c r="X28" s="9" t="s">
        <v>30</v>
      </c>
      <c r="Y28" s="10" t="s">
        <v>31</v>
      </c>
      <c r="AJ28" s="42"/>
    </row>
    <row r="29" spans="1:69" ht="72">
      <c r="A29" s="43" t="str">
        <f aca="true" t="shared" si="19" ref="A29:A40">E12</f>
        <v>Year Ending December</v>
      </c>
      <c r="B29" s="12" t="str">
        <f aca="true" t="shared" si="20" ref="B29:B40">U12</f>
        <v>Additional Loss Funding Need 1 Yr out at 99.5%</v>
      </c>
      <c r="C29" s="16" t="s">
        <v>32</v>
      </c>
      <c r="D29" s="16" t="str">
        <f aca="true" t="shared" si="21" ref="D29:D38">Y12</f>
        <v>Additional Risk Margin Need 1 Yr Out at 99.5%</v>
      </c>
      <c r="E29" s="16" t="s">
        <v>33</v>
      </c>
      <c r="F29" s="16" t="s">
        <v>34</v>
      </c>
      <c r="G29" s="17" t="s">
        <v>35</v>
      </c>
      <c r="H29" s="14" t="s">
        <v>17</v>
      </c>
      <c r="I29" s="12" t="str">
        <f aca="true" t="shared" si="22" ref="I29:I40">F12</f>
        <v>Expected Unpaid Losses</v>
      </c>
      <c r="J29" s="12" t="str">
        <f aca="true" t="shared" si="23" ref="J29:J40">E29</f>
        <v>Required Capital</v>
      </c>
      <c r="K29" s="15" t="s">
        <v>36</v>
      </c>
      <c r="L29" s="43" t="str">
        <f aca="true" t="shared" si="24" ref="L29:L40">A29</f>
        <v>Year Ending December</v>
      </c>
      <c r="M29" s="12" t="str">
        <f aca="true" t="shared" si="25" ref="M29:M40">F12</f>
        <v>Expected Unpaid Losses</v>
      </c>
      <c r="N29" s="16" t="str">
        <f aca="true" t="shared" si="26" ref="N29:N40">H12</f>
        <v>Expected PV of Unpaid Losses</v>
      </c>
      <c r="O29" s="16" t="str">
        <f aca="true" t="shared" si="27" ref="O29:O40">G29</f>
        <v>Expected Risk Margin</v>
      </c>
      <c r="P29" s="16" t="s">
        <v>37</v>
      </c>
      <c r="Q29" s="16" t="s">
        <v>38</v>
      </c>
      <c r="R29" s="17" t="s">
        <v>39</v>
      </c>
      <c r="S29" s="43" t="str">
        <f aca="true" t="shared" si="28" ref="S29:S39">A29</f>
        <v>Year Ending December</v>
      </c>
      <c r="T29" s="12" t="s">
        <v>40</v>
      </c>
      <c r="U29" s="16" t="s">
        <v>41</v>
      </c>
      <c r="V29" s="16" t="s">
        <v>42</v>
      </c>
      <c r="W29" s="16" t="s">
        <v>43</v>
      </c>
      <c r="X29" s="16" t="s">
        <v>44</v>
      </c>
      <c r="Y29" s="17" t="s">
        <v>45</v>
      </c>
      <c r="AJ29" s="42"/>
      <c r="BI29" s="44"/>
      <c r="BJ29" s="44"/>
      <c r="BK29" s="44"/>
      <c r="BL29" s="44"/>
      <c r="BN29" s="44"/>
      <c r="BO29" s="44"/>
      <c r="BP29" s="18"/>
      <c r="BQ29" s="18"/>
    </row>
    <row r="30" spans="1:69" ht="12">
      <c r="A30" s="43">
        <f t="shared" si="19"/>
        <v>2007</v>
      </c>
      <c r="B30" s="25">
        <f t="shared" si="20"/>
        <v>1613.5968912630906</v>
      </c>
      <c r="C30" s="25">
        <f aca="true" t="shared" si="29" ref="C30:C39">G31</f>
        <v>1009.2245055156433</v>
      </c>
      <c r="D30" s="45">
        <f t="shared" si="21"/>
        <v>0.1939386571986963</v>
      </c>
      <c r="E30" s="25">
        <f aca="true" t="shared" si="30" ref="E30:E39">(B30+D30*C30)/B$8</f>
        <v>1523.641715094579</v>
      </c>
      <c r="F30" s="25">
        <f aca="true" t="shared" si="31" ref="F30:F39">(B$7/(1-B$6)-C13)*E30</f>
        <v>234.79318829607456</v>
      </c>
      <c r="G30" s="24">
        <f aca="true" t="shared" si="32" ref="G30:G40">D13*(F30+C30)</f>
        <v>1203.810425596785</v>
      </c>
      <c r="H30" s="22">
        <f>A30</f>
        <v>2007</v>
      </c>
      <c r="I30" s="25">
        <f t="shared" si="22"/>
        <v>10000</v>
      </c>
      <c r="J30" s="25">
        <f t="shared" si="23"/>
        <v>1523.641715094579</v>
      </c>
      <c r="K30" s="46">
        <f aca="true" t="shared" si="33" ref="K30:K39">J30/I30</f>
        <v>0.1523641715094579</v>
      </c>
      <c r="L30" s="43">
        <f t="shared" si="24"/>
        <v>2007</v>
      </c>
      <c r="M30" s="25">
        <f t="shared" si="25"/>
        <v>10000</v>
      </c>
      <c r="N30" s="25">
        <f t="shared" si="26"/>
        <v>9147.559852684124</v>
      </c>
      <c r="O30" s="25">
        <f t="shared" si="27"/>
        <v>1203.810425596785</v>
      </c>
      <c r="P30" s="25">
        <f aca="true" t="shared" si="34" ref="P30:P40">N30+O30</f>
        <v>10351.370278280909</v>
      </c>
      <c r="Q30" s="45">
        <f aca="true" t="shared" si="35" ref="Q30:Q39">O30/N30</f>
        <v>0.13159907614526914</v>
      </c>
      <c r="R30" s="47">
        <f aca="true" t="shared" si="36" ref="R30:R39">P30/M30</f>
        <v>1.035137027828091</v>
      </c>
      <c r="S30" s="43">
        <f t="shared" si="28"/>
        <v>2007</v>
      </c>
      <c r="T30" s="25">
        <f aca="true" t="shared" si="37" ref="T30:T39">P30</f>
        <v>10351.370278280909</v>
      </c>
      <c r="U30" s="25">
        <f aca="true" t="shared" si="38" ref="U30:U39">-G14</f>
        <v>-2839.4257882790553</v>
      </c>
      <c r="V30" s="48">
        <f aca="true" t="shared" si="39" ref="V30:V39">C13*(T30+0.5*U30)</f>
        <v>298.31735663032214</v>
      </c>
      <c r="W30" s="25">
        <f aca="true" t="shared" si="40" ref="W30:W39">-F30</f>
        <v>-234.79318829607456</v>
      </c>
      <c r="X30" s="48">
        <f aca="true" t="shared" si="41" ref="X30:X39">SUM(T30:W30)</f>
        <v>7575.468658336101</v>
      </c>
      <c r="Y30" s="49">
        <f aca="true" t="shared" si="42" ref="Y30:Y39">P31</f>
        <v>7575.4686583361035</v>
      </c>
      <c r="AJ30" s="42"/>
      <c r="BI30" s="50"/>
      <c r="BK30" s="50"/>
      <c r="BL30" s="50"/>
      <c r="BN30" s="1"/>
      <c r="BO30" s="1"/>
      <c r="BP30" s="1"/>
      <c r="BQ30" s="1"/>
    </row>
    <row r="31" spans="1:69" ht="12">
      <c r="A31" s="43">
        <f t="shared" si="19"/>
        <v>2008</v>
      </c>
      <c r="B31" s="25">
        <f t="shared" si="20"/>
        <v>1438.8178219911779</v>
      </c>
      <c r="C31" s="25">
        <f t="shared" si="29"/>
        <v>815.4903679880146</v>
      </c>
      <c r="D31" s="45">
        <f t="shared" si="21"/>
        <v>0.2537851446432602</v>
      </c>
      <c r="E31" s="25">
        <f t="shared" si="30"/>
        <v>1385.9176109357486</v>
      </c>
      <c r="F31" s="25">
        <f t="shared" si="31"/>
        <v>221.59694713522234</v>
      </c>
      <c r="G31" s="24">
        <f t="shared" si="32"/>
        <v>1009.2245055156433</v>
      </c>
      <c r="H31" s="22">
        <f aca="true" t="shared" si="43" ref="H31:H40">H30+1</f>
        <v>2008</v>
      </c>
      <c r="I31" s="25">
        <f t="shared" si="22"/>
        <v>7160.574211720945</v>
      </c>
      <c r="J31" s="25">
        <f t="shared" si="23"/>
        <v>1385.9176109357486</v>
      </c>
      <c r="K31" s="46">
        <f t="shared" si="33"/>
        <v>0.19354839010915892</v>
      </c>
      <c r="L31" s="43">
        <f t="shared" si="24"/>
        <v>2008</v>
      </c>
      <c r="M31" s="25">
        <f t="shared" si="25"/>
        <v>7160.574211720945</v>
      </c>
      <c r="N31" s="25">
        <f t="shared" si="26"/>
        <v>6566.24415282046</v>
      </c>
      <c r="O31" s="25">
        <f t="shared" si="27"/>
        <v>1009.2245055156433</v>
      </c>
      <c r="P31" s="25">
        <f t="shared" si="34"/>
        <v>7575.4686583361035</v>
      </c>
      <c r="Q31" s="45">
        <f t="shared" si="35"/>
        <v>0.1536989003191637</v>
      </c>
      <c r="R31" s="47">
        <f t="shared" si="36"/>
        <v>1.0579415050172973</v>
      </c>
      <c r="S31" s="43">
        <f t="shared" si="28"/>
        <v>2008</v>
      </c>
      <c r="T31" s="25">
        <f t="shared" si="37"/>
        <v>7575.4686583361035</v>
      </c>
      <c r="U31" s="25">
        <f t="shared" si="38"/>
        <v>-2055.492515741</v>
      </c>
      <c r="V31" s="48">
        <f t="shared" si="39"/>
        <v>180.7704248266708</v>
      </c>
      <c r="W31" s="25">
        <f t="shared" si="40"/>
        <v>-221.59694713522234</v>
      </c>
      <c r="X31" s="48">
        <f t="shared" si="41"/>
        <v>5479.149620286552</v>
      </c>
      <c r="Y31" s="49">
        <f t="shared" si="42"/>
        <v>5479.149620286552</v>
      </c>
      <c r="AJ31" s="42"/>
      <c r="BI31" s="50"/>
      <c r="BK31" s="50"/>
      <c r="BL31" s="50"/>
      <c r="BN31" s="1"/>
      <c r="BO31" s="1"/>
      <c r="BP31" s="1"/>
      <c r="BQ31" s="1"/>
    </row>
    <row r="32" spans="1:69" ht="12">
      <c r="A32" s="43">
        <f t="shared" si="19"/>
        <v>2009</v>
      </c>
      <c r="B32" s="25">
        <f t="shared" si="20"/>
        <v>1380.6702964496226</v>
      </c>
      <c r="C32" s="25">
        <f t="shared" si="29"/>
        <v>632.165352673062</v>
      </c>
      <c r="D32" s="45">
        <f t="shared" si="21"/>
        <v>0.3224313148180553</v>
      </c>
      <c r="E32" s="25">
        <f t="shared" si="30"/>
        <v>1334.315959826878</v>
      </c>
      <c r="F32" s="25">
        <f t="shared" si="31"/>
        <v>208.6868607280117</v>
      </c>
      <c r="G32" s="24">
        <f t="shared" si="32"/>
        <v>815.4903679880146</v>
      </c>
      <c r="H32" s="22">
        <f t="shared" si="43"/>
        <v>2009</v>
      </c>
      <c r="I32" s="25">
        <f t="shared" si="22"/>
        <v>5105.081695979945</v>
      </c>
      <c r="J32" s="25">
        <f t="shared" si="23"/>
        <v>1334.315959826878</v>
      </c>
      <c r="K32" s="46">
        <f t="shared" si="33"/>
        <v>0.2613701482735527</v>
      </c>
      <c r="L32" s="43">
        <f t="shared" si="24"/>
        <v>2009</v>
      </c>
      <c r="M32" s="25">
        <f t="shared" si="25"/>
        <v>5105.081695979945</v>
      </c>
      <c r="N32" s="25">
        <f t="shared" si="26"/>
        <v>4663.6592522985375</v>
      </c>
      <c r="O32" s="25">
        <f t="shared" si="27"/>
        <v>815.4903679880146</v>
      </c>
      <c r="P32" s="25">
        <f t="shared" si="34"/>
        <v>5479.149620286552</v>
      </c>
      <c r="Q32" s="45">
        <f t="shared" si="35"/>
        <v>0.174860624216079</v>
      </c>
      <c r="R32" s="47">
        <f t="shared" si="36"/>
        <v>1.0732736411644834</v>
      </c>
      <c r="S32" s="43">
        <f t="shared" si="28"/>
        <v>2009</v>
      </c>
      <c r="T32" s="25">
        <f t="shared" si="37"/>
        <v>5479.149620286552</v>
      </c>
      <c r="U32" s="25">
        <f t="shared" si="38"/>
        <v>-1537.5382125602523</v>
      </c>
      <c r="V32" s="48">
        <f t="shared" si="39"/>
        <v>146.4933825370113</v>
      </c>
      <c r="W32" s="25">
        <f t="shared" si="40"/>
        <v>-208.6868607280117</v>
      </c>
      <c r="X32" s="48">
        <f t="shared" si="41"/>
        <v>3879.417929535299</v>
      </c>
      <c r="Y32" s="49">
        <f t="shared" si="42"/>
        <v>3879.417929535299</v>
      </c>
      <c r="AJ32" s="42"/>
      <c r="BI32" s="50"/>
      <c r="BK32" s="50"/>
      <c r="BL32" s="50"/>
      <c r="BN32" s="1"/>
      <c r="BO32" s="1"/>
      <c r="BP32" s="1"/>
      <c r="BQ32" s="1"/>
    </row>
    <row r="33" spans="1:69" ht="12">
      <c r="A33" s="43">
        <f t="shared" si="19"/>
        <v>2010</v>
      </c>
      <c r="B33" s="25">
        <f t="shared" si="20"/>
        <v>1486.646290568291</v>
      </c>
      <c r="C33" s="25">
        <f t="shared" si="29"/>
        <v>441.441992563068</v>
      </c>
      <c r="D33" s="45">
        <f t="shared" si="21"/>
        <v>0.49333122258998996</v>
      </c>
      <c r="E33" s="25">
        <f t="shared" si="30"/>
        <v>1435.3039229153605</v>
      </c>
      <c r="F33" s="25">
        <f t="shared" si="31"/>
        <v>214.69436411475604</v>
      </c>
      <c r="G33" s="24">
        <f t="shared" si="32"/>
        <v>632.165352673062</v>
      </c>
      <c r="H33" s="22">
        <f t="shared" si="43"/>
        <v>2010</v>
      </c>
      <c r="I33" s="25">
        <f t="shared" si="22"/>
        <v>3567.5434834196926</v>
      </c>
      <c r="J33" s="25">
        <f t="shared" si="23"/>
        <v>1435.3039229153605</v>
      </c>
      <c r="K33" s="46">
        <f t="shared" si="33"/>
        <v>0.40232275502344833</v>
      </c>
      <c r="L33" s="43">
        <f t="shared" si="24"/>
        <v>2010</v>
      </c>
      <c r="M33" s="25">
        <f t="shared" si="25"/>
        <v>3567.5434834196926</v>
      </c>
      <c r="N33" s="25">
        <f t="shared" si="26"/>
        <v>3247.252576862237</v>
      </c>
      <c r="O33" s="25">
        <f t="shared" si="27"/>
        <v>632.165352673062</v>
      </c>
      <c r="P33" s="25">
        <f t="shared" si="34"/>
        <v>3879.417929535299</v>
      </c>
      <c r="Q33" s="45">
        <f t="shared" si="35"/>
        <v>0.19467698853407708</v>
      </c>
      <c r="R33" s="47">
        <f t="shared" si="36"/>
        <v>1.0874199424800444</v>
      </c>
      <c r="S33" s="43">
        <f t="shared" si="28"/>
        <v>2010</v>
      </c>
      <c r="T33" s="25">
        <f t="shared" si="37"/>
        <v>3879.417929535299</v>
      </c>
      <c r="U33" s="25">
        <f t="shared" si="38"/>
        <v>-1100.0634532159625</v>
      </c>
      <c r="V33" s="48">
        <f t="shared" si="39"/>
        <v>126.24660568046863</v>
      </c>
      <c r="W33" s="25">
        <f t="shared" si="40"/>
        <v>-214.69436411475604</v>
      </c>
      <c r="X33" s="48">
        <f t="shared" si="41"/>
        <v>2690.9067178850496</v>
      </c>
      <c r="Y33" s="49">
        <f t="shared" si="42"/>
        <v>2690.9067178850496</v>
      </c>
      <c r="AJ33" s="42"/>
      <c r="BI33" s="50"/>
      <c r="BK33" s="50"/>
      <c r="BL33" s="50"/>
      <c r="BN33" s="1"/>
      <c r="BO33" s="1"/>
      <c r="BP33" s="1"/>
      <c r="BQ33" s="1"/>
    </row>
    <row r="34" spans="1:69" ht="12">
      <c r="A34" s="43">
        <f t="shared" si="19"/>
        <v>2011</v>
      </c>
      <c r="B34" s="25">
        <f t="shared" si="20"/>
        <v>1081.943194046598</v>
      </c>
      <c r="C34" s="25">
        <f t="shared" si="29"/>
        <v>308.67137629263965</v>
      </c>
      <c r="D34" s="45">
        <f t="shared" si="21"/>
        <v>0.5168068738158249</v>
      </c>
      <c r="E34" s="25">
        <f t="shared" si="30"/>
        <v>1045.4456278440634</v>
      </c>
      <c r="F34" s="25">
        <f t="shared" si="31"/>
        <v>151.5490359825238</v>
      </c>
      <c r="G34" s="24">
        <f t="shared" si="32"/>
        <v>441.441992563068</v>
      </c>
      <c r="H34" s="22">
        <f t="shared" si="43"/>
        <v>2011</v>
      </c>
      <c r="I34" s="25">
        <f t="shared" si="22"/>
        <v>2467.48003020373</v>
      </c>
      <c r="J34" s="25">
        <f t="shared" si="23"/>
        <v>1045.4456278440634</v>
      </c>
      <c r="K34" s="46">
        <f t="shared" si="33"/>
        <v>0.42368960034004616</v>
      </c>
      <c r="L34" s="43">
        <f t="shared" si="24"/>
        <v>2011</v>
      </c>
      <c r="M34" s="25">
        <f t="shared" si="25"/>
        <v>2467.48003020373</v>
      </c>
      <c r="N34" s="25">
        <f t="shared" si="26"/>
        <v>2249.4647253219814</v>
      </c>
      <c r="O34" s="25">
        <f t="shared" si="27"/>
        <v>441.441992563068</v>
      </c>
      <c r="P34" s="25">
        <f t="shared" si="34"/>
        <v>2690.9067178850496</v>
      </c>
      <c r="Q34" s="45">
        <f t="shared" si="35"/>
        <v>0.1962431273510552</v>
      </c>
      <c r="R34" s="47">
        <f t="shared" si="36"/>
        <v>1.0905485292470116</v>
      </c>
      <c r="S34" s="43">
        <f t="shared" si="28"/>
        <v>2011</v>
      </c>
      <c r="T34" s="25">
        <f t="shared" si="37"/>
        <v>2690.9067178850496</v>
      </c>
      <c r="U34" s="25">
        <f t="shared" si="38"/>
        <v>-750.3421365692227</v>
      </c>
      <c r="V34" s="48">
        <f t="shared" si="39"/>
        <v>98.50865278578169</v>
      </c>
      <c r="W34" s="25">
        <f t="shared" si="40"/>
        <v>-151.5490359825238</v>
      </c>
      <c r="X34" s="48">
        <f t="shared" si="41"/>
        <v>1887.524198119085</v>
      </c>
      <c r="Y34" s="49">
        <f t="shared" si="42"/>
        <v>1887.5241981190848</v>
      </c>
      <c r="AJ34" s="42"/>
      <c r="BI34" s="50"/>
      <c r="BK34" s="50"/>
      <c r="BL34" s="50"/>
      <c r="BN34" s="1"/>
      <c r="BO34" s="1"/>
      <c r="BP34" s="1"/>
      <c r="BQ34" s="1"/>
    </row>
    <row r="35" spans="1:69" ht="12">
      <c r="A35" s="43">
        <f t="shared" si="19"/>
        <v>2012</v>
      </c>
      <c r="B35" s="25">
        <f t="shared" si="20"/>
        <v>946.0958476659014</v>
      </c>
      <c r="C35" s="25">
        <f t="shared" si="29"/>
        <v>191.3007934707018</v>
      </c>
      <c r="D35" s="45">
        <f t="shared" si="21"/>
        <v>0.6005977575835826</v>
      </c>
      <c r="E35" s="25">
        <f t="shared" si="30"/>
        <v>893.4658317880967</v>
      </c>
      <c r="F35" s="25">
        <f t="shared" si="31"/>
        <v>130.24863414096288</v>
      </c>
      <c r="G35" s="24">
        <f t="shared" si="32"/>
        <v>308.67137629263965</v>
      </c>
      <c r="H35" s="22">
        <f t="shared" si="43"/>
        <v>2012</v>
      </c>
      <c r="I35" s="25">
        <f t="shared" si="22"/>
        <v>1717.1378936345075</v>
      </c>
      <c r="J35" s="25">
        <f t="shared" si="23"/>
        <v>893.4658317880967</v>
      </c>
      <c r="K35" s="46">
        <f t="shared" si="33"/>
        <v>0.5203227039017699</v>
      </c>
      <c r="L35" s="43">
        <f t="shared" si="24"/>
        <v>2012</v>
      </c>
      <c r="M35" s="25">
        <f t="shared" si="25"/>
        <v>1717.1378936345075</v>
      </c>
      <c r="N35" s="25">
        <f t="shared" si="26"/>
        <v>1578.852821826445</v>
      </c>
      <c r="O35" s="25">
        <f t="shared" si="27"/>
        <v>308.67137629263965</v>
      </c>
      <c r="P35" s="25">
        <f t="shared" si="34"/>
        <v>1887.5241981190848</v>
      </c>
      <c r="Q35" s="45">
        <f t="shared" si="35"/>
        <v>0.19550357831046158</v>
      </c>
      <c r="R35" s="47">
        <f t="shared" si="36"/>
        <v>1.0992269200488822</v>
      </c>
      <c r="S35" s="43">
        <f t="shared" si="28"/>
        <v>2012</v>
      </c>
      <c r="T35" s="25">
        <f t="shared" si="37"/>
        <v>1887.5241981190848</v>
      </c>
      <c r="U35" s="25">
        <f t="shared" si="38"/>
        <v>-511.44774083893867</v>
      </c>
      <c r="V35" s="48">
        <f t="shared" si="39"/>
        <v>68.08019783018199</v>
      </c>
      <c r="W35" s="25">
        <f t="shared" si="40"/>
        <v>-130.24863414096288</v>
      </c>
      <c r="X35" s="48">
        <f t="shared" si="41"/>
        <v>1313.9080209693652</v>
      </c>
      <c r="Y35" s="49">
        <f t="shared" si="42"/>
        <v>1313.9080209693652</v>
      </c>
      <c r="AJ35" s="42"/>
      <c r="BI35" s="50"/>
      <c r="BK35" s="50"/>
      <c r="BL35" s="50"/>
      <c r="BN35" s="1"/>
      <c r="BO35" s="1"/>
      <c r="BP35" s="1"/>
      <c r="BQ35" s="1"/>
    </row>
    <row r="36" spans="1:69" ht="12">
      <c r="A36" s="43">
        <f t="shared" si="19"/>
        <v>2013</v>
      </c>
      <c r="B36" s="25">
        <f t="shared" si="20"/>
        <v>646.2042088991911</v>
      </c>
      <c r="C36" s="25">
        <f t="shared" si="29"/>
        <v>114.1966694065312</v>
      </c>
      <c r="D36" s="45">
        <f t="shared" si="21"/>
        <v>0.5864861552849674</v>
      </c>
      <c r="E36" s="25">
        <f t="shared" si="30"/>
        <v>600.571767988022</v>
      </c>
      <c r="F36" s="25">
        <f t="shared" si="31"/>
        <v>85.68096858532563</v>
      </c>
      <c r="G36" s="24">
        <f t="shared" si="32"/>
        <v>191.3007934707018</v>
      </c>
      <c r="H36" s="22">
        <f t="shared" si="43"/>
        <v>2013</v>
      </c>
      <c r="I36" s="25">
        <f t="shared" si="22"/>
        <v>1205.6901527955688</v>
      </c>
      <c r="J36" s="25">
        <f t="shared" si="23"/>
        <v>600.571767988022</v>
      </c>
      <c r="K36" s="46">
        <f t="shared" si="33"/>
        <v>0.49811451689765285</v>
      </c>
      <c r="L36" s="43">
        <f t="shared" si="24"/>
        <v>2013</v>
      </c>
      <c r="M36" s="25">
        <f t="shared" si="25"/>
        <v>1205.6901527955688</v>
      </c>
      <c r="N36" s="25">
        <f t="shared" si="26"/>
        <v>1122.6072274986634</v>
      </c>
      <c r="O36" s="25">
        <f t="shared" si="27"/>
        <v>191.3007934707018</v>
      </c>
      <c r="P36" s="25">
        <f t="shared" si="34"/>
        <v>1313.9080209693652</v>
      </c>
      <c r="Q36" s="45">
        <f t="shared" si="35"/>
        <v>0.17040759117233598</v>
      </c>
      <c r="R36" s="47">
        <f t="shared" si="36"/>
        <v>1.0897559525744467</v>
      </c>
      <c r="S36" s="43">
        <f t="shared" si="28"/>
        <v>2013</v>
      </c>
      <c r="T36" s="25">
        <f t="shared" si="37"/>
        <v>1313.9080209693652</v>
      </c>
      <c r="U36" s="25">
        <f t="shared" si="38"/>
        <v>-453.5367683005835</v>
      </c>
      <c r="V36" s="48">
        <f t="shared" si="39"/>
        <v>48.74118642487584</v>
      </c>
      <c r="W36" s="25">
        <f t="shared" si="40"/>
        <v>-85.68096858532563</v>
      </c>
      <c r="X36" s="48">
        <f t="shared" si="41"/>
        <v>823.4314705083319</v>
      </c>
      <c r="Y36" s="49">
        <f t="shared" si="42"/>
        <v>823.4314705083322</v>
      </c>
      <c r="AJ36" s="42"/>
      <c r="BI36" s="50"/>
      <c r="BK36" s="50"/>
      <c r="BL36" s="50"/>
      <c r="BN36" s="1"/>
      <c r="BO36" s="1"/>
      <c r="BP36" s="1"/>
      <c r="BQ36" s="1"/>
    </row>
    <row r="37" spans="1:69" ht="12">
      <c r="A37" s="43">
        <f t="shared" si="19"/>
        <v>2014</v>
      </c>
      <c r="B37" s="25">
        <f t="shared" si="20"/>
        <v>514.8332318206303</v>
      </c>
      <c r="C37" s="25">
        <f t="shared" si="29"/>
        <v>54.30492386698458</v>
      </c>
      <c r="D37" s="45">
        <f t="shared" si="21"/>
        <v>0.5721584070267389</v>
      </c>
      <c r="E37" s="25">
        <f t="shared" si="30"/>
        <v>459.70884257185054</v>
      </c>
      <c r="F37" s="25">
        <f t="shared" si="31"/>
        <v>65.12569186250916</v>
      </c>
      <c r="G37" s="24">
        <f t="shared" si="32"/>
        <v>114.1966694065312</v>
      </c>
      <c r="H37" s="22">
        <f t="shared" si="43"/>
        <v>2014</v>
      </c>
      <c r="I37" s="25">
        <f t="shared" si="22"/>
        <v>752.1533844949853</v>
      </c>
      <c r="J37" s="25">
        <f t="shared" si="23"/>
        <v>459.70884257185054</v>
      </c>
      <c r="K37" s="46">
        <f t="shared" si="33"/>
        <v>0.611190286513848</v>
      </c>
      <c r="L37" s="43">
        <f t="shared" si="24"/>
        <v>2014</v>
      </c>
      <c r="M37" s="25">
        <f t="shared" si="25"/>
        <v>752.1533844949853</v>
      </c>
      <c r="N37" s="25">
        <f t="shared" si="26"/>
        <v>709.2348011018009</v>
      </c>
      <c r="O37" s="25">
        <f t="shared" si="27"/>
        <v>114.1966694065312</v>
      </c>
      <c r="P37" s="25">
        <f t="shared" si="34"/>
        <v>823.4314705083322</v>
      </c>
      <c r="Q37" s="45">
        <f t="shared" si="35"/>
        <v>0.16101391137198276</v>
      </c>
      <c r="R37" s="47">
        <f t="shared" si="36"/>
        <v>1.0947653596762112</v>
      </c>
      <c r="S37" s="43">
        <f t="shared" si="28"/>
        <v>2014</v>
      </c>
      <c r="T37" s="25">
        <f t="shared" si="37"/>
        <v>823.4314705083322</v>
      </c>
      <c r="U37" s="25">
        <f t="shared" si="38"/>
        <v>-309.7315655270076</v>
      </c>
      <c r="V37" s="48">
        <f t="shared" si="39"/>
        <v>30.642197720968205</v>
      </c>
      <c r="W37" s="25">
        <f t="shared" si="40"/>
        <v>-65.12569186250916</v>
      </c>
      <c r="X37" s="48">
        <f t="shared" si="41"/>
        <v>479.21641083978363</v>
      </c>
      <c r="Y37" s="49">
        <f t="shared" si="42"/>
        <v>479.2164108397835</v>
      </c>
      <c r="BI37" s="50"/>
      <c r="BK37" s="50"/>
      <c r="BL37" s="50"/>
      <c r="BN37" s="1"/>
      <c r="BO37" s="1"/>
      <c r="BP37" s="1"/>
      <c r="BQ37" s="1"/>
    </row>
    <row r="38" spans="1:69" ht="12">
      <c r="A38" s="43">
        <f t="shared" si="19"/>
        <v>2015</v>
      </c>
      <c r="B38" s="25">
        <f t="shared" si="20"/>
        <v>357.90363339154453</v>
      </c>
      <c r="C38" s="25">
        <f t="shared" si="29"/>
        <v>13.97758351543353</v>
      </c>
      <c r="D38" s="45">
        <f t="shared" si="21"/>
        <v>0.5511294928959469</v>
      </c>
      <c r="E38" s="25">
        <f t="shared" si="30"/>
        <v>307.87965634216096</v>
      </c>
      <c r="F38" s="25">
        <f t="shared" si="31"/>
        <v>42.93626104401429</v>
      </c>
      <c r="G38" s="24">
        <f t="shared" si="32"/>
        <v>54.30492386698458</v>
      </c>
      <c r="H38" s="22">
        <f t="shared" si="43"/>
        <v>2015</v>
      </c>
      <c r="I38" s="25">
        <f t="shared" si="22"/>
        <v>442.4218189679777</v>
      </c>
      <c r="J38" s="25">
        <f t="shared" si="23"/>
        <v>307.87965634216096</v>
      </c>
      <c r="K38" s="46">
        <f t="shared" si="33"/>
        <v>0.6958961858172849</v>
      </c>
      <c r="L38" s="43">
        <f t="shared" si="24"/>
        <v>2015</v>
      </c>
      <c r="M38" s="25">
        <f t="shared" si="25"/>
        <v>442.4218189679777</v>
      </c>
      <c r="N38" s="25">
        <f t="shared" si="26"/>
        <v>424.9114869727989</v>
      </c>
      <c r="O38" s="25">
        <f t="shared" si="27"/>
        <v>54.30492386698458</v>
      </c>
      <c r="P38" s="25">
        <f t="shared" si="34"/>
        <v>479.2164108397835</v>
      </c>
      <c r="Q38" s="45">
        <f t="shared" si="35"/>
        <v>0.1278029084454028</v>
      </c>
      <c r="R38" s="47">
        <f t="shared" si="36"/>
        <v>1.0831663138984313</v>
      </c>
      <c r="S38" s="43">
        <f t="shared" si="28"/>
        <v>2015</v>
      </c>
      <c r="T38" s="25">
        <f t="shared" si="37"/>
        <v>479.2164108397835</v>
      </c>
      <c r="U38" s="25">
        <f t="shared" si="38"/>
        <v>-282.8403285507992</v>
      </c>
      <c r="V38" s="48">
        <f t="shared" si="39"/>
        <v>16.22842929780852</v>
      </c>
      <c r="W38" s="25">
        <f t="shared" si="40"/>
        <v>-42.93626104401429</v>
      </c>
      <c r="X38" s="48">
        <f t="shared" si="41"/>
        <v>169.66825054277857</v>
      </c>
      <c r="Y38" s="49">
        <f t="shared" si="42"/>
        <v>169.6682505427785</v>
      </c>
      <c r="BI38" s="50"/>
      <c r="BK38" s="50"/>
      <c r="BL38" s="50"/>
      <c r="BN38" s="1"/>
      <c r="BO38" s="1"/>
      <c r="BP38" s="1"/>
      <c r="BQ38" s="1"/>
    </row>
    <row r="39" spans="1:69" ht="12">
      <c r="A39" s="43">
        <f t="shared" si="19"/>
        <v>2016</v>
      </c>
      <c r="B39" s="25">
        <f t="shared" si="20"/>
        <v>128.0797273440492</v>
      </c>
      <c r="C39" s="25">
        <f t="shared" si="29"/>
        <v>0</v>
      </c>
      <c r="D39" s="45">
        <f>AV22</f>
        <v>0</v>
      </c>
      <c r="E39" s="25">
        <f t="shared" si="30"/>
        <v>107.85661250025196</v>
      </c>
      <c r="F39" s="25">
        <f t="shared" si="31"/>
        <v>14.69411006212836</v>
      </c>
      <c r="G39" s="24">
        <f t="shared" si="32"/>
        <v>13.97758351543353</v>
      </c>
      <c r="H39" s="22">
        <f t="shared" si="43"/>
        <v>2016</v>
      </c>
      <c r="I39" s="25">
        <f t="shared" si="22"/>
        <v>159.5814904171785</v>
      </c>
      <c r="J39" s="25">
        <f t="shared" si="23"/>
        <v>107.85661250025196</v>
      </c>
      <c r="K39" s="46">
        <f t="shared" si="33"/>
        <v>0.6758716955098791</v>
      </c>
      <c r="L39" s="43">
        <f t="shared" si="24"/>
        <v>2016</v>
      </c>
      <c r="M39" s="25">
        <f t="shared" si="25"/>
        <v>159.5814904171785</v>
      </c>
      <c r="N39" s="25">
        <f t="shared" si="26"/>
        <v>155.69066702734497</v>
      </c>
      <c r="O39" s="25">
        <f t="shared" si="27"/>
        <v>13.97758351543353</v>
      </c>
      <c r="P39" s="25">
        <f t="shared" si="34"/>
        <v>169.6682505427785</v>
      </c>
      <c r="Q39" s="45">
        <f t="shared" si="35"/>
        <v>0.08977791528748834</v>
      </c>
      <c r="R39" s="47">
        <f t="shared" si="36"/>
        <v>1.0632075819020814</v>
      </c>
      <c r="S39" s="51">
        <f t="shared" si="28"/>
        <v>2016</v>
      </c>
      <c r="T39" s="31">
        <f t="shared" si="37"/>
        <v>169.6682505427785</v>
      </c>
      <c r="U39" s="31">
        <f t="shared" si="38"/>
        <v>-159.5814904171785</v>
      </c>
      <c r="V39" s="52">
        <f t="shared" si="39"/>
        <v>4.6073499365283865</v>
      </c>
      <c r="W39" s="31">
        <f t="shared" si="40"/>
        <v>-14.69411006212836</v>
      </c>
      <c r="X39" s="52">
        <f t="shared" si="41"/>
        <v>4.973799150320701E-14</v>
      </c>
      <c r="Y39" s="53">
        <f t="shared" si="42"/>
        <v>0</v>
      </c>
      <c r="BI39" s="50"/>
      <c r="BK39" s="50"/>
      <c r="BL39" s="50"/>
      <c r="BN39" s="1"/>
      <c r="BO39" s="1"/>
      <c r="BP39" s="1"/>
      <c r="BQ39" s="1"/>
    </row>
    <row r="40" spans="1:66" ht="12">
      <c r="A40" s="51">
        <f t="shared" si="19"/>
        <v>2017</v>
      </c>
      <c r="B40" s="35" t="str">
        <f t="shared" si="20"/>
        <v>n/a </v>
      </c>
      <c r="C40" s="31">
        <v>0</v>
      </c>
      <c r="D40" s="54">
        <f>AV23</f>
        <v>0</v>
      </c>
      <c r="E40" s="35" t="s">
        <v>46</v>
      </c>
      <c r="F40" s="31">
        <v>0</v>
      </c>
      <c r="G40" s="34">
        <f t="shared" si="32"/>
        <v>0</v>
      </c>
      <c r="H40" s="30">
        <f t="shared" si="43"/>
        <v>2017</v>
      </c>
      <c r="I40" s="31">
        <f t="shared" si="22"/>
        <v>0</v>
      </c>
      <c r="J40" s="35" t="str">
        <f t="shared" si="23"/>
        <v>n/a  </v>
      </c>
      <c r="K40" s="32" t="s">
        <v>46</v>
      </c>
      <c r="L40" s="51">
        <f t="shared" si="24"/>
        <v>2017</v>
      </c>
      <c r="M40" s="31">
        <f t="shared" si="25"/>
        <v>0</v>
      </c>
      <c r="N40" s="31">
        <f t="shared" si="26"/>
        <v>0</v>
      </c>
      <c r="O40" s="31">
        <f t="shared" si="27"/>
        <v>0</v>
      </c>
      <c r="P40" s="31">
        <f t="shared" si="34"/>
        <v>0</v>
      </c>
      <c r="Q40" s="35" t="s">
        <v>47</v>
      </c>
      <c r="R40" s="35" t="s">
        <v>46</v>
      </c>
      <c r="S40" s="43"/>
      <c r="T40" s="25"/>
      <c r="U40" s="25"/>
      <c r="V40" s="50"/>
      <c r="W40" s="1"/>
      <c r="X40" s="50"/>
      <c r="Y40" s="50"/>
      <c r="Z40" s="50"/>
      <c r="AA40" s="50"/>
      <c r="AB40" s="50"/>
      <c r="AC40" s="50"/>
      <c r="AD40" s="50"/>
      <c r="AE40" s="50"/>
      <c r="AF40" s="50"/>
      <c r="BI40" s="50"/>
      <c r="BK40" s="50"/>
      <c r="BL40" s="50"/>
      <c r="BN40" s="1"/>
    </row>
    <row r="43" spans="1:8" ht="12">
      <c r="A43" s="39" t="s">
        <v>48</v>
      </c>
      <c r="B43" s="40"/>
      <c r="C43" s="40"/>
      <c r="D43" s="40"/>
      <c r="E43" s="40"/>
      <c r="F43" s="40"/>
      <c r="G43" s="40"/>
      <c r="H43" s="41"/>
    </row>
    <row r="44" spans="1:23" ht="12">
      <c r="A44" s="8" t="s">
        <v>7</v>
      </c>
      <c r="B44" s="9" t="s">
        <v>8</v>
      </c>
      <c r="C44" s="9" t="s">
        <v>9</v>
      </c>
      <c r="D44" s="9" t="s">
        <v>10</v>
      </c>
      <c r="E44" s="9" t="s">
        <v>11</v>
      </c>
      <c r="F44" s="9" t="s">
        <v>30</v>
      </c>
      <c r="G44" s="9" t="s">
        <v>31</v>
      </c>
      <c r="H44" s="10" t="s">
        <v>49</v>
      </c>
      <c r="J44" s="55"/>
      <c r="K44" s="55"/>
      <c r="L44" s="55"/>
      <c r="M44" s="56" t="s">
        <v>50</v>
      </c>
      <c r="N44" s="57"/>
      <c r="O44" s="57"/>
      <c r="P44" s="57"/>
      <c r="Q44" s="57"/>
      <c r="R44" s="57"/>
      <c r="S44" s="57"/>
      <c r="T44" s="57"/>
      <c r="U44" s="57"/>
      <c r="V44" s="58"/>
      <c r="W44" s="55"/>
    </row>
    <row r="45" spans="1:24" ht="72">
      <c r="A45" s="43" t="str">
        <f aca="true" t="shared" si="44" ref="A45:A55">A29</f>
        <v>Year Ending December</v>
      </c>
      <c r="B45" s="12" t="str">
        <f aca="true" t="shared" si="45" ref="B45:B55">T29</f>
        <v>Expected Beginning U/W Assets</v>
      </c>
      <c r="C45" s="16" t="s">
        <v>51</v>
      </c>
      <c r="D45" s="16" t="str">
        <f>V29</f>
        <v>Expected Net Interest Earned in Next Year</v>
      </c>
      <c r="E45" s="16" t="str">
        <f>W29</f>
        <v>Expected Pre-Tax Cost of Capital in Next Yr</v>
      </c>
      <c r="F45" s="16" t="s">
        <v>52</v>
      </c>
      <c r="G45" s="16" t="s">
        <v>53</v>
      </c>
      <c r="H45" s="17" t="s">
        <v>54</v>
      </c>
      <c r="J45" s="55"/>
      <c r="K45" s="59" t="s">
        <v>55</v>
      </c>
      <c r="L45" s="60" t="s">
        <v>56</v>
      </c>
      <c r="M45" s="60" t="s">
        <v>57</v>
      </c>
      <c r="N45" s="61">
        <f>J47-1</f>
        <v>2007</v>
      </c>
      <c r="O45" s="62">
        <f aca="true" t="shared" si="46" ref="O45:W45">N45+1</f>
        <v>2008</v>
      </c>
      <c r="P45" s="62">
        <f t="shared" si="46"/>
        <v>2009</v>
      </c>
      <c r="Q45" s="62">
        <f t="shared" si="46"/>
        <v>2010</v>
      </c>
      <c r="R45" s="62">
        <f t="shared" si="46"/>
        <v>2011</v>
      </c>
      <c r="S45" s="62">
        <f t="shared" si="46"/>
        <v>2012</v>
      </c>
      <c r="T45" s="62">
        <f t="shared" si="46"/>
        <v>2013</v>
      </c>
      <c r="U45" s="62">
        <f t="shared" si="46"/>
        <v>2014</v>
      </c>
      <c r="V45" s="62">
        <f t="shared" si="46"/>
        <v>2015</v>
      </c>
      <c r="W45" s="63">
        <f t="shared" si="46"/>
        <v>2016</v>
      </c>
      <c r="X45" s="64" t="s">
        <v>58</v>
      </c>
    </row>
    <row r="46" spans="1:24" ht="12">
      <c r="A46" s="43">
        <f t="shared" si="44"/>
        <v>2007</v>
      </c>
      <c r="B46" s="25">
        <f t="shared" si="45"/>
        <v>10351.370278280909</v>
      </c>
      <c r="C46" s="25">
        <f aca="true" t="shared" si="47" ref="C46:C55">-P13</f>
        <v>-3173.986934562421</v>
      </c>
      <c r="D46" s="65">
        <f aca="true" t="shared" si="48" ref="D46:D55">C13*(B46+0.5*C46)</f>
        <v>292.7301854873899</v>
      </c>
      <c r="E46" s="25">
        <f aca="true" t="shared" si="49" ref="E46:E55">W30</f>
        <v>-234.79318829607456</v>
      </c>
      <c r="F46" s="65">
        <f aca="true" t="shared" si="50" ref="F46:F55">E30*(1+C13)-E46</f>
        <v>1809.3245366748126</v>
      </c>
      <c r="G46" s="65">
        <f aca="true" t="shared" si="51" ref="G46:G55">SUM(B46:F46)</f>
        <v>9044.644877584615</v>
      </c>
      <c r="H46" s="66">
        <f aca="true" t="shared" si="52" ref="H46:H54">X13*(1+Q31)</f>
        <v>9044.644877584617</v>
      </c>
      <c r="J46" s="67">
        <f>'Paper Exhibits'!E13</f>
        <v>2007</v>
      </c>
      <c r="K46" s="68"/>
      <c r="L46" s="69"/>
      <c r="M46" s="70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2"/>
    </row>
    <row r="47" spans="1:24" ht="12">
      <c r="A47" s="43">
        <f t="shared" si="44"/>
        <v>2008</v>
      </c>
      <c r="B47" s="25">
        <f t="shared" si="45"/>
        <v>7575.4686583361035</v>
      </c>
      <c r="C47" s="25">
        <f t="shared" si="47"/>
        <v>-2307.267382168837</v>
      </c>
      <c r="D47" s="65">
        <f t="shared" si="48"/>
        <v>177.29490717479217</v>
      </c>
      <c r="E47" s="25">
        <f t="shared" si="49"/>
        <v>-221.59694713522234</v>
      </c>
      <c r="F47" s="65">
        <f t="shared" si="50"/>
        <v>1645.7771629862013</v>
      </c>
      <c r="G47" s="65">
        <f t="shared" si="51"/>
        <v>6869.676399193038</v>
      </c>
      <c r="H47" s="66">
        <f t="shared" si="52"/>
        <v>6869.676399193038</v>
      </c>
      <c r="J47" s="73">
        <f>'Paper Exhibits'!E14</f>
        <v>2008</v>
      </c>
      <c r="K47" s="101">
        <v>0.2839425788279055</v>
      </c>
      <c r="L47" s="74">
        <f aca="true" t="shared" si="53" ref="L47:L56">K47*L$58</f>
        <v>2839.4257882790553</v>
      </c>
      <c r="M47" s="75">
        <f>1+0.5*'Paper Exhibits'!C13</f>
        <v>1.0167</v>
      </c>
      <c r="N47" s="76">
        <f>PRODUCT($X$47:$X47)</f>
        <v>0.9676795045480936</v>
      </c>
      <c r="O47" s="55"/>
      <c r="P47" s="55"/>
      <c r="Q47" s="55"/>
      <c r="R47" s="55"/>
      <c r="S47" s="55"/>
      <c r="T47" s="55"/>
      <c r="U47" s="55"/>
      <c r="V47" s="55"/>
      <c r="W47" s="55"/>
      <c r="X47" s="77">
        <f>'Paper Exhibits'!D13</f>
        <v>0.9676795045480936</v>
      </c>
    </row>
    <row r="48" spans="1:24" ht="12">
      <c r="A48" s="43">
        <f t="shared" si="44"/>
        <v>2009</v>
      </c>
      <c r="B48" s="25">
        <f t="shared" si="45"/>
        <v>5479.149620286552</v>
      </c>
      <c r="C48" s="25">
        <f t="shared" si="47"/>
        <v>-1866.0836898042</v>
      </c>
      <c r="D48" s="65">
        <f t="shared" si="48"/>
        <v>141.38448123534494</v>
      </c>
      <c r="E48" s="25">
        <f t="shared" si="49"/>
        <v>-208.6868607280117</v>
      </c>
      <c r="F48" s="65">
        <f t="shared" si="50"/>
        <v>1584.5002022944175</v>
      </c>
      <c r="G48" s="65">
        <f t="shared" si="51"/>
        <v>5130.263753284103</v>
      </c>
      <c r="H48" s="66">
        <f t="shared" si="52"/>
        <v>5130.263753284104</v>
      </c>
      <c r="J48" s="73">
        <f>'Paper Exhibits'!E15</f>
        <v>2009</v>
      </c>
      <c r="K48" s="101">
        <v>0.20554925157409998</v>
      </c>
      <c r="L48" s="74">
        <f t="shared" si="53"/>
        <v>2055.492515741</v>
      </c>
      <c r="M48" s="75">
        <f>1+0.5*'Paper Exhibits'!C14</f>
        <v>1.0138040690923165</v>
      </c>
      <c r="N48" s="76">
        <f>PRODUCT($X$47:$X48)</f>
        <v>0.9416814334086445</v>
      </c>
      <c r="O48" s="76">
        <f>PRODUCT($X$48:$X48)</f>
        <v>0.9731335932844933</v>
      </c>
      <c r="P48" s="55"/>
      <c r="Q48" s="55"/>
      <c r="R48" s="55"/>
      <c r="S48" s="55"/>
      <c r="T48" s="55"/>
      <c r="U48" s="55"/>
      <c r="V48" s="55"/>
      <c r="W48" s="78"/>
      <c r="X48" s="77">
        <f>'Paper Exhibits'!D14</f>
        <v>0.9731335932844933</v>
      </c>
    </row>
    <row r="49" spans="1:24" ht="12">
      <c r="A49" s="43">
        <f t="shared" si="44"/>
        <v>2010</v>
      </c>
      <c r="B49" s="25">
        <f t="shared" si="45"/>
        <v>3879.417929535299</v>
      </c>
      <c r="C49" s="25">
        <f t="shared" si="47"/>
        <v>-1469.965425868537</v>
      </c>
      <c r="D49" s="65">
        <f t="shared" si="48"/>
        <v>119.23347088090142</v>
      </c>
      <c r="E49" s="25">
        <f t="shared" si="49"/>
        <v>-214.69436411475604</v>
      </c>
      <c r="F49" s="65">
        <f t="shared" si="50"/>
        <v>1704.4234084619907</v>
      </c>
      <c r="G49" s="65">
        <f t="shared" si="51"/>
        <v>4018.415018894898</v>
      </c>
      <c r="H49" s="66">
        <f t="shared" si="52"/>
        <v>4018.4150188948984</v>
      </c>
      <c r="J49" s="73">
        <f>'Paper Exhibits'!E16</f>
        <v>2010</v>
      </c>
      <c r="K49" s="101">
        <v>0.15375382125602524</v>
      </c>
      <c r="L49" s="74">
        <f t="shared" si="53"/>
        <v>1537.5382125602523</v>
      </c>
      <c r="M49" s="75">
        <f>1+0.5*'Paper Exhibits'!C15</f>
        <v>1.0155500582279298</v>
      </c>
      <c r="N49" s="76">
        <f>PRODUCT($X$47:$X49)</f>
        <v>0.9132783697527175</v>
      </c>
      <c r="O49" s="76">
        <f>PRODUCT($X$48:$X49)</f>
        <v>0.9437818673024583</v>
      </c>
      <c r="P49" s="76">
        <f>PRODUCT($X$49:$X49)</f>
        <v>0.9698379275110954</v>
      </c>
      <c r="Q49" s="55"/>
      <c r="R49" s="55"/>
      <c r="S49" s="55"/>
      <c r="T49" s="55"/>
      <c r="U49" s="55"/>
      <c r="V49" s="55"/>
      <c r="W49" s="78"/>
      <c r="X49" s="77">
        <f>'Paper Exhibits'!D15</f>
        <v>0.9698379275110954</v>
      </c>
    </row>
    <row r="50" spans="1:24" ht="12">
      <c r="A50" s="43">
        <f t="shared" si="44"/>
        <v>2011</v>
      </c>
      <c r="B50" s="25">
        <f t="shared" si="45"/>
        <v>2690.9067178850496</v>
      </c>
      <c r="C50" s="25">
        <f t="shared" si="47"/>
        <v>-1010.7838974748067</v>
      </c>
      <c r="D50" s="65">
        <f t="shared" si="48"/>
        <v>92.96921070818695</v>
      </c>
      <c r="E50" s="25">
        <f t="shared" si="49"/>
        <v>-151.5490359825238</v>
      </c>
      <c r="F50" s="65">
        <f t="shared" si="50"/>
        <v>1241.4666830648252</v>
      </c>
      <c r="G50" s="65">
        <f t="shared" si="51"/>
        <v>2863.0096782007313</v>
      </c>
      <c r="H50" s="66">
        <f t="shared" si="52"/>
        <v>2863.0096782007304</v>
      </c>
      <c r="J50" s="73">
        <f>'Paper Exhibits'!E17</f>
        <v>2011</v>
      </c>
      <c r="K50" s="101">
        <v>0.11000634532159624</v>
      </c>
      <c r="L50" s="74">
        <f t="shared" si="53"/>
        <v>1100.0634532159625</v>
      </c>
      <c r="M50" s="75">
        <f>1+0.5*'Paper Exhibits'!C16</f>
        <v>1.0189594414684406</v>
      </c>
      <c r="N50" s="76">
        <f>PRODUCT($X$47:$X50)</f>
        <v>0.8799130498218871</v>
      </c>
      <c r="O50" s="76">
        <f>PRODUCT($X$48:$X50)</f>
        <v>0.9093021456859383</v>
      </c>
      <c r="P50" s="76">
        <f>PRODUCT($X$49:$X50)</f>
        <v>0.9344062849756188</v>
      </c>
      <c r="Q50" s="76">
        <f>PRODUCT($X$50:$X50)</f>
        <v>0.9634664292554477</v>
      </c>
      <c r="R50" s="55"/>
      <c r="S50" s="55"/>
      <c r="T50" s="55"/>
      <c r="U50" s="55"/>
      <c r="V50" s="55"/>
      <c r="W50" s="78"/>
      <c r="X50" s="77">
        <f>'Paper Exhibits'!D16</f>
        <v>0.9634664292554477</v>
      </c>
    </row>
    <row r="51" spans="1:24" ht="12">
      <c r="A51" s="43">
        <f t="shared" si="44"/>
        <v>2012</v>
      </c>
      <c r="B51" s="25">
        <f t="shared" si="45"/>
        <v>1887.5241981190848</v>
      </c>
      <c r="C51" s="25">
        <f t="shared" si="47"/>
        <v>-777.7529567857283</v>
      </c>
      <c r="D51" s="65">
        <f t="shared" si="48"/>
        <v>62.524949593890355</v>
      </c>
      <c r="E51" s="25">
        <f t="shared" si="49"/>
        <v>-130.24863414096288</v>
      </c>
      <c r="F51" s="65">
        <f t="shared" si="50"/>
        <v>1060.9906752483648</v>
      </c>
      <c r="G51" s="65">
        <f t="shared" si="51"/>
        <v>2103.038232034649</v>
      </c>
      <c r="H51" s="66">
        <f t="shared" si="52"/>
        <v>2103.038232034649</v>
      </c>
      <c r="J51" s="73">
        <f>'Paper Exhibits'!E18</f>
        <v>2012</v>
      </c>
      <c r="K51" s="101">
        <v>0.07503421365692227</v>
      </c>
      <c r="L51" s="74">
        <f t="shared" si="53"/>
        <v>750.3421365692227</v>
      </c>
      <c r="M51" s="75">
        <f>1+0.5*'Paper Exhibits'!C17</f>
        <v>1.0212694080178752</v>
      </c>
      <c r="N51" s="76">
        <f>PRODUCT($X$47:$X51)</f>
        <v>0.8440098692610343</v>
      </c>
      <c r="O51" s="76">
        <f>PRODUCT($X$48:$X51)</f>
        <v>0.872199798894353</v>
      </c>
      <c r="P51" s="76">
        <f>PRODUCT($X$49:$X51)</f>
        <v>0.8962796114668372</v>
      </c>
      <c r="Q51" s="76">
        <f>PRODUCT($X$50:$X51)</f>
        <v>0.9241540117604684</v>
      </c>
      <c r="R51" s="76">
        <f>PRODUCT($X$51:$X51)</f>
        <v>0.9591968995480629</v>
      </c>
      <c r="S51" s="55"/>
      <c r="T51" s="55"/>
      <c r="U51" s="55"/>
      <c r="V51" s="55"/>
      <c r="W51" s="78"/>
      <c r="X51" s="77">
        <f>'Paper Exhibits'!D17</f>
        <v>0.9591968995480629</v>
      </c>
    </row>
    <row r="52" spans="1:24" ht="12">
      <c r="A52" s="43">
        <f t="shared" si="44"/>
        <v>2013</v>
      </c>
      <c r="B52" s="25">
        <f t="shared" si="45"/>
        <v>1313.9080209693652</v>
      </c>
      <c r="C52" s="25">
        <f t="shared" si="47"/>
        <v>-678.7362506025834</v>
      </c>
      <c r="D52" s="65">
        <f t="shared" si="48"/>
        <v>43.692851520178564</v>
      </c>
      <c r="E52" s="25">
        <f t="shared" si="49"/>
        <v>-85.68096858532563</v>
      </c>
      <c r="F52" s="65">
        <f t="shared" si="50"/>
        <v>713.1789744857762</v>
      </c>
      <c r="G52" s="65">
        <f t="shared" si="51"/>
        <v>1306.362627787411</v>
      </c>
      <c r="H52" s="66">
        <f t="shared" si="52"/>
        <v>1306.362627787411</v>
      </c>
      <c r="J52" s="73">
        <f>'Paper Exhibits'!E19</f>
        <v>2013</v>
      </c>
      <c r="K52" s="101">
        <v>0.05114477408389387</v>
      </c>
      <c r="L52" s="74">
        <f t="shared" si="53"/>
        <v>511.44774083893867</v>
      </c>
      <c r="M52" s="75">
        <f>1+0.5*'Paper Exhibits'!C18</f>
        <v>1.0208604559867187</v>
      </c>
      <c r="N52" s="76">
        <f>PRODUCT($X$47:$X52)</f>
        <v>0.8102072825457068</v>
      </c>
      <c r="O52" s="76">
        <f>PRODUCT($X$48:$X52)</f>
        <v>0.8372682057827336</v>
      </c>
      <c r="P52" s="76">
        <f>PRODUCT($X$49:$X52)</f>
        <v>0.860383622105583</v>
      </c>
      <c r="Q52" s="76">
        <f>PRODUCT($X$50:$X52)</f>
        <v>0.8871416529497808</v>
      </c>
      <c r="R52" s="76">
        <f>PRODUCT($X$51:$X52)</f>
        <v>0.9207810734364149</v>
      </c>
      <c r="S52" s="76">
        <f>PRODUCT($X$52:$X52)</f>
        <v>0.9599500101285273</v>
      </c>
      <c r="T52" s="76"/>
      <c r="U52" s="76"/>
      <c r="V52" s="55"/>
      <c r="W52" s="78"/>
      <c r="X52" s="77">
        <f>'Paper Exhibits'!D18</f>
        <v>0.9599500101285273</v>
      </c>
    </row>
    <row r="53" spans="1:24" ht="12">
      <c r="A53" s="43">
        <f t="shared" si="44"/>
        <v>2014</v>
      </c>
      <c r="B53" s="25">
        <f t="shared" si="45"/>
        <v>823.4314705083322</v>
      </c>
      <c r="C53" s="25">
        <f t="shared" si="47"/>
        <v>-575.360858595312</v>
      </c>
      <c r="D53" s="65">
        <f t="shared" si="48"/>
        <v>24.55493848236173</v>
      </c>
      <c r="E53" s="25">
        <f t="shared" si="49"/>
        <v>-65.12569186250916</v>
      </c>
      <c r="F53" s="65">
        <f t="shared" si="50"/>
        <v>545.9042505540725</v>
      </c>
      <c r="G53" s="65">
        <f t="shared" si="51"/>
        <v>753.4041090869453</v>
      </c>
      <c r="H53" s="66">
        <f t="shared" si="52"/>
        <v>753.4041090869453</v>
      </c>
      <c r="J53" s="73">
        <f>'Paper Exhibits'!E20</f>
        <v>2014</v>
      </c>
      <c r="K53" s="101">
        <v>0.04535367683005835</v>
      </c>
      <c r="L53" s="74">
        <f t="shared" si="53"/>
        <v>453.5367683005835</v>
      </c>
      <c r="M53" s="75">
        <f>1+0.5*'Paper Exhibits'!C19</f>
        <v>1.0224171692274466</v>
      </c>
      <c r="N53" s="76">
        <f>PRODUCT($X$47:$X53)</f>
        <v>0.7754409026639055</v>
      </c>
      <c r="O53" s="76">
        <f>PRODUCT($X$48:$X53)</f>
        <v>0.8013406288128802</v>
      </c>
      <c r="P53" s="76">
        <f>PRODUCT($X$49:$X53)</f>
        <v>0.8234641516261068</v>
      </c>
      <c r="Q53" s="76">
        <f>PRODUCT($X$50:$X53)</f>
        <v>0.8490739826389041</v>
      </c>
      <c r="R53" s="76">
        <f>PRODUCT($X$51:$X53)</f>
        <v>0.8812699195913404</v>
      </c>
      <c r="S53" s="76">
        <f>PRODUCT($X$52:$X53)</f>
        <v>0.918758098578677</v>
      </c>
      <c r="T53" s="76">
        <f>PRODUCT($X$53:$X53)</f>
        <v>0.9570895243343607</v>
      </c>
      <c r="U53" s="76"/>
      <c r="V53" s="55"/>
      <c r="W53" s="78"/>
      <c r="X53" s="77">
        <f>'Paper Exhibits'!D19</f>
        <v>0.9570895243343607</v>
      </c>
    </row>
    <row r="54" spans="1:24" ht="12">
      <c r="A54" s="43">
        <f t="shared" si="44"/>
        <v>2015</v>
      </c>
      <c r="B54" s="25">
        <f t="shared" si="45"/>
        <v>479.2164108397835</v>
      </c>
      <c r="C54" s="25">
        <f t="shared" si="47"/>
        <v>-548.5554909970504</v>
      </c>
      <c r="D54" s="65">
        <f t="shared" si="48"/>
        <v>9.845676719927523</v>
      </c>
      <c r="E54" s="25">
        <f t="shared" si="49"/>
        <v>-42.93626104401429</v>
      </c>
      <c r="F54" s="65">
        <f t="shared" si="50"/>
        <v>365.6070919063161</v>
      </c>
      <c r="G54" s="65">
        <f t="shared" si="51"/>
        <v>263.1774274249625</v>
      </c>
      <c r="H54" s="66">
        <f t="shared" si="52"/>
        <v>263.1774274249625</v>
      </c>
      <c r="J54" s="73">
        <f>'Paper Exhibits'!E21</f>
        <v>2015</v>
      </c>
      <c r="K54" s="101">
        <v>0.030973156552700762</v>
      </c>
      <c r="L54" s="74">
        <f t="shared" si="53"/>
        <v>309.7315655270076</v>
      </c>
      <c r="M54" s="75">
        <f>1+0.5*'Paper Exhibits'!C20</f>
        <v>1.0229163702854156</v>
      </c>
      <c r="N54" s="76">
        <f>PRODUCT($X$47:$X54)</f>
        <v>0.7414578570571984</v>
      </c>
      <c r="O54" s="76">
        <f>PRODUCT($X$48:$X54)</f>
        <v>0.766222549482909</v>
      </c>
      <c r="P54" s="76">
        <f>PRODUCT($X$49:$X54)</f>
        <v>0.7873765275092148</v>
      </c>
      <c r="Q54" s="76">
        <f>PRODUCT($X$50:$X54)</f>
        <v>0.8118640292093615</v>
      </c>
      <c r="R54" s="76">
        <f>PRODUCT($X$51:$X54)</f>
        <v>0.8426490062936162</v>
      </c>
      <c r="S54" s="76">
        <f>PRODUCT($X$52:$X54)</f>
        <v>0.8784942973550482</v>
      </c>
      <c r="T54" s="76">
        <f>PRODUCT($X$53:$X54)</f>
        <v>0.9151458806041649</v>
      </c>
      <c r="U54" s="76">
        <f>PRODUCT($X$54:$X54)</f>
        <v>0.9561758407507732</v>
      </c>
      <c r="V54" s="55"/>
      <c r="W54" s="78"/>
      <c r="X54" s="77">
        <f>'Paper Exhibits'!D20</f>
        <v>0.9561758407507732</v>
      </c>
    </row>
    <row r="55" spans="1:24" ht="12">
      <c r="A55" s="51">
        <f t="shared" si="44"/>
        <v>2016</v>
      </c>
      <c r="B55" s="31">
        <f t="shared" si="45"/>
        <v>169.6682505427785</v>
      </c>
      <c r="C55" s="31">
        <f t="shared" si="47"/>
        <v>-284.46041190414826</v>
      </c>
      <c r="D55" s="79">
        <f t="shared" si="48"/>
        <v>1.4065440794489448</v>
      </c>
      <c r="E55" s="31">
        <f t="shared" si="49"/>
        <v>-14.69411006212836</v>
      </c>
      <c r="F55" s="79">
        <f t="shared" si="50"/>
        <v>128.0797273440492</v>
      </c>
      <c r="G55" s="79">
        <f t="shared" si="51"/>
        <v>0</v>
      </c>
      <c r="H55" s="80">
        <v>0</v>
      </c>
      <c r="J55" s="73">
        <f>'Paper Exhibits'!E22</f>
        <v>2016</v>
      </c>
      <c r="K55" s="101">
        <v>0.02828403285507992</v>
      </c>
      <c r="L55" s="74">
        <f t="shared" si="53"/>
        <v>282.8403285507992</v>
      </c>
      <c r="M55" s="75">
        <f>1+0.5*'Paper Exhibits'!C21</f>
        <v>1.024021032594149</v>
      </c>
      <c r="N55" s="76">
        <f>PRODUCT($X$47:$X55)</f>
        <v>0.7074695584131762</v>
      </c>
      <c r="O55" s="76">
        <f>PRODUCT($X$48:$X55)</f>
        <v>0.7310990416641765</v>
      </c>
      <c r="P55" s="76">
        <f>PRODUCT($X$49:$X55)</f>
        <v>0.7512833250330937</v>
      </c>
      <c r="Q55" s="76">
        <f>PRODUCT($X$50:$X55)</f>
        <v>0.7746483239329681</v>
      </c>
      <c r="R55" s="76">
        <f>PRODUCT($X$51:$X55)</f>
        <v>0.8040221230454336</v>
      </c>
      <c r="S55" s="76">
        <f>PRODUCT($X$52:$X55)</f>
        <v>0.8382242722263369</v>
      </c>
      <c r="T55" s="76">
        <f>PRODUCT($X$53:$X55)</f>
        <v>0.8731957533018905</v>
      </c>
      <c r="U55" s="76">
        <f>PRODUCT($X$54:$X55)</f>
        <v>0.9123449072428028</v>
      </c>
      <c r="V55" s="76">
        <f>PRODUCT($X$55:$X55)</f>
        <v>0.9541601746875814</v>
      </c>
      <c r="W55" s="78"/>
      <c r="X55" s="77">
        <f>'Paper Exhibits'!D21</f>
        <v>0.9541601746875814</v>
      </c>
    </row>
    <row r="56" spans="10:24" ht="12">
      <c r="J56" s="61">
        <f>'Paper Exhibits'!E23</f>
        <v>2017</v>
      </c>
      <c r="K56" s="102">
        <v>0.01595814904171785</v>
      </c>
      <c r="L56" s="81">
        <f t="shared" si="53"/>
        <v>159.5814904171785</v>
      </c>
      <c r="M56" s="82">
        <f>1+0.5*'Paper Exhibits'!C22</f>
        <v>1.0256312740290077</v>
      </c>
      <c r="N56" s="83">
        <f>PRODUCT($X$47:$X56)</f>
        <v>0.6729713331080579</v>
      </c>
      <c r="O56" s="83">
        <f>PRODUCT($X$48:$X56)</f>
        <v>0.6954485756338673</v>
      </c>
      <c r="P56" s="83">
        <f>PRODUCT($X$49:$X56)</f>
        <v>0.7146486160102731</v>
      </c>
      <c r="Q56" s="83">
        <f>PRODUCT($X$50:$X56)</f>
        <v>0.7368742711932112</v>
      </c>
      <c r="R56" s="83">
        <f>PRODUCT($X$51:$X56)</f>
        <v>0.7648157204217864</v>
      </c>
      <c r="S56" s="83">
        <f>PRODUCT($X$52:$X56)</f>
        <v>0.7973500756540588</v>
      </c>
      <c r="T56" s="83">
        <f>PRODUCT($X$53:$X56)</f>
        <v>0.8306162479724354</v>
      </c>
      <c r="U56" s="83">
        <f>PRODUCT($X$54:$X56)</f>
        <v>0.867856377960165</v>
      </c>
      <c r="V56" s="83">
        <f>PRODUCT($X$55:$X56)</f>
        <v>0.9076326141839546</v>
      </c>
      <c r="W56" s="83">
        <f>PRODUCT($X$56:$X56)</f>
        <v>0.9512371594016055</v>
      </c>
      <c r="X56" s="84">
        <f>'Paper Exhibits'!D22</f>
        <v>0.9512371594016055</v>
      </c>
    </row>
    <row r="57" spans="10:24" ht="12">
      <c r="J57" s="55"/>
      <c r="K57" s="55"/>
      <c r="L57" s="85"/>
      <c r="M57" s="86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87"/>
    </row>
    <row r="58" spans="10:24" ht="12">
      <c r="J58" s="55"/>
      <c r="K58" s="88">
        <f>SUM(K47:K56)</f>
        <v>1</v>
      </c>
      <c r="L58" s="89">
        <f>F13</f>
        <v>10000</v>
      </c>
      <c r="M58" s="90"/>
      <c r="N58" s="89">
        <f aca="true" t="shared" si="54" ref="N58:W58">SUMPRODUCT($L47:$L56,$M47:$M56,N47:N56)</f>
        <v>9147.559852684124</v>
      </c>
      <c r="O58" s="89">
        <f t="shared" si="54"/>
        <v>6566.24415282046</v>
      </c>
      <c r="P58" s="89">
        <f t="shared" si="54"/>
        <v>4663.6592522985375</v>
      </c>
      <c r="Q58" s="89">
        <f t="shared" si="54"/>
        <v>3247.252576862237</v>
      </c>
      <c r="R58" s="89">
        <f t="shared" si="54"/>
        <v>2249.4647253219814</v>
      </c>
      <c r="S58" s="89">
        <f t="shared" si="54"/>
        <v>1578.852821826445</v>
      </c>
      <c r="T58" s="89">
        <f t="shared" si="54"/>
        <v>1122.6072274986634</v>
      </c>
      <c r="U58" s="89">
        <f t="shared" si="54"/>
        <v>709.2348011018009</v>
      </c>
      <c r="V58" s="89">
        <f t="shared" si="54"/>
        <v>424.9114869727989</v>
      </c>
      <c r="W58" s="91">
        <f t="shared" si="54"/>
        <v>155.69066702734497</v>
      </c>
      <c r="X58" s="85"/>
    </row>
    <row r="59" spans="10:24" ht="12">
      <c r="J59" s="55"/>
      <c r="K59" s="55"/>
      <c r="L59" s="55"/>
      <c r="M59" s="55"/>
      <c r="N59" s="88">
        <f>N58/SUM($L47:$L57)</f>
        <v>0.9147559852684124</v>
      </c>
      <c r="O59" s="92">
        <f>O58/SUM($L48:$L57)</f>
        <v>0.9169996649252454</v>
      </c>
      <c r="P59" s="92">
        <f>P58/SUM($L49:$L57)</f>
        <v>0.9135327366006678</v>
      </c>
      <c r="Q59" s="92">
        <f>Q58/SUM($L50:$L57)</f>
        <v>0.9102208822272186</v>
      </c>
      <c r="R59" s="92">
        <f>R58/SUM($L51:$L57)</f>
        <v>0.9116445514398963</v>
      </c>
      <c r="S59" s="92">
        <f>S58/SUM($L52:$L57)</f>
        <v>0.9194676954479369</v>
      </c>
      <c r="T59" s="92">
        <f>T58/SUM($L53:$L57)</f>
        <v>0.9310909812904539</v>
      </c>
      <c r="U59" s="92">
        <f>U58/SUM($L54:$L57)</f>
        <v>0.9429390543499304</v>
      </c>
      <c r="V59" s="92">
        <f>V58/SUM($L55:$L57)</f>
        <v>0.9604216355422421</v>
      </c>
      <c r="W59" s="93">
        <f>W58/SUM($L56:$L57)</f>
        <v>0.9756185797008029</v>
      </c>
      <c r="X59" s="55"/>
    </row>
  </sheetData>
  <sheetProtection sheet="1" objects="1" scenarios="1"/>
  <printOptions/>
  <pageMargins left="0.39" right="0.43" top="0.76" bottom="1" header="0.5" footer="0.5"/>
  <pageSetup fitToHeight="2" fitToWidth="1" horizontalDpi="600" verticalDpi="600" orientation="landscape" paperSize="5" scale="81" r:id="rId3"/>
  <headerFooter alignWithMargins="0">
    <oddHeader>&amp;CCompanion Worksheet for &amp;"Geneva,Italic"Risk Margins in Fair Value Loss Reserves: Required Capital for Unpaid Losses and its Cost&amp;"Geneva,Regular" (Wacek)</oddHeader>
    <oddFooter>&amp;L&amp;F, &amp;C&amp;P of &amp;N&amp;RPrepared by M. Wacek (August 2008)</oddFooter>
  </headerFooter>
  <rowBreaks count="1" manualBreakCount="1">
    <brk id="42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OdysseyRe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Wacek</dc:creator>
  <cp:keywords/>
  <dc:description/>
  <cp:lastModifiedBy>mwacek</cp:lastModifiedBy>
  <cp:lastPrinted>2008-08-18T12:33:39Z</cp:lastPrinted>
  <dcterms:created xsi:type="dcterms:W3CDTF">2008-08-17T21:25:44Z</dcterms:created>
  <dcterms:modified xsi:type="dcterms:W3CDTF">2008-08-18T12:33:50Z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